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3"/>
  <workbookPr filterPrivacy="1" defaultThemeVersion="124226"/>
  <xr:revisionPtr revIDLastSave="0" documentId="13_ncr:1_{ADA2C574-7D48-0C4B-824D-4F5DDC7B1D0E}" xr6:coauthVersionLast="45" xr6:coauthVersionMax="45" xr10:uidLastSave="{00000000-0000-0000-0000-000000000000}"/>
  <bookViews>
    <workbookView xWindow="240" yWindow="460" windowWidth="28560" windowHeight="156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Sheet1!$B$6:$O$31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" i="1" l="1"/>
  <c r="M28" i="1" s="1"/>
  <c r="N28" i="1" s="1"/>
  <c r="L27" i="1"/>
  <c r="M27" i="1" s="1"/>
  <c r="N27" i="1" s="1"/>
  <c r="E26" i="1"/>
  <c r="L26" i="1" s="1"/>
  <c r="M26" i="1" s="1"/>
  <c r="N26" i="1" s="1"/>
  <c r="L25" i="1"/>
  <c r="M20" i="1"/>
  <c r="N20" i="1" s="1"/>
  <c r="M25" i="1"/>
  <c r="N25" i="1" s="1"/>
  <c r="E23" i="1"/>
  <c r="J23" i="1" s="1"/>
  <c r="E17" i="1"/>
  <c r="E8" i="1"/>
  <c r="E11" i="1"/>
  <c r="E21" i="1"/>
  <c r="E22" i="1"/>
  <c r="F22" i="1" s="1"/>
  <c r="E24" i="1"/>
  <c r="F24" i="1" s="1"/>
  <c r="I24" i="1"/>
  <c r="K20" i="1"/>
  <c r="K19" i="1"/>
  <c r="M19" i="1" s="1"/>
  <c r="N19" i="1" s="1"/>
  <c r="J22" i="1"/>
  <c r="F23" i="1" l="1"/>
  <c r="M23" i="1" s="1"/>
  <c r="N23" i="1" s="1"/>
  <c r="J24" i="1"/>
  <c r="M24" i="1" s="1"/>
  <c r="N24" i="1" s="1"/>
  <c r="I22" i="1"/>
  <c r="M22" i="1" s="1"/>
  <c r="N22" i="1" s="1"/>
  <c r="E18" i="1"/>
  <c r="K18" i="1" s="1"/>
  <c r="M18" i="1" s="1"/>
  <c r="N18" i="1" s="1"/>
  <c r="K17" i="1"/>
  <c r="M17" i="1" s="1"/>
  <c r="N17" i="1" s="1"/>
  <c r="F21" i="1"/>
  <c r="J11" i="1"/>
  <c r="I11" i="1"/>
  <c r="J10" i="1"/>
  <c r="I10" i="1"/>
  <c r="G10" i="1"/>
  <c r="G11" i="1"/>
  <c r="G16" i="1"/>
  <c r="H10" i="1"/>
  <c r="H11" i="1"/>
  <c r="H12" i="1"/>
  <c r="H16" i="1"/>
  <c r="F10" i="1"/>
  <c r="F11" i="1"/>
  <c r="J9" i="1"/>
  <c r="F7" i="1"/>
  <c r="E7" i="1"/>
  <c r="E12" i="1"/>
  <c r="G12" i="1" s="1"/>
  <c r="E9" i="1"/>
  <c r="H9" i="1" s="1"/>
  <c r="J7" i="1"/>
  <c r="H7" i="1"/>
  <c r="E13" i="1"/>
  <c r="J13" i="1" s="1"/>
  <c r="H8" i="1"/>
  <c r="E14" i="1"/>
  <c r="J14" i="1" s="1"/>
  <c r="E15" i="1"/>
  <c r="J15" i="1" s="1"/>
  <c r="M11" i="1" l="1"/>
  <c r="M12" i="1"/>
  <c r="G9" i="1"/>
  <c r="M10" i="1"/>
  <c r="I14" i="1"/>
  <c r="F9" i="1"/>
  <c r="M9" i="1" s="1"/>
  <c r="I9" i="1"/>
  <c r="M16" i="1"/>
  <c r="G15" i="1"/>
  <c r="H15" i="1"/>
  <c r="G14" i="1"/>
  <c r="I15" i="1"/>
  <c r="F14" i="1"/>
  <c r="H14" i="1"/>
  <c r="G13" i="1"/>
  <c r="F13" i="1"/>
  <c r="J21" i="1"/>
  <c r="I21" i="1"/>
  <c r="M21" i="1" s="1"/>
  <c r="N21" i="1" s="1"/>
  <c r="I13" i="1"/>
  <c r="H13" i="1"/>
  <c r="N16" i="1"/>
  <c r="N10" i="1"/>
  <c r="N12" i="1"/>
  <c r="G7" i="1"/>
  <c r="G8" i="1"/>
  <c r="F15" i="1"/>
  <c r="M15" i="1" s="1"/>
  <c r="N8" i="1" l="1"/>
  <c r="M8" i="1"/>
  <c r="M14" i="1"/>
  <c r="N7" i="1"/>
  <c r="O7" i="1" s="1"/>
  <c r="M13" i="1"/>
  <c r="N13" i="1" s="1"/>
  <c r="M7" i="1"/>
  <c r="O8" i="1"/>
  <c r="N15" i="1"/>
  <c r="N11" i="1"/>
  <c r="N14" i="1"/>
  <c r="N9" i="1"/>
  <c r="O9" i="1" l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N33" i="1"/>
</calcChain>
</file>

<file path=xl/sharedStrings.xml><?xml version="1.0" encoding="utf-8"?>
<sst xmlns="http://schemas.openxmlformats.org/spreadsheetml/2006/main" count="53" uniqueCount="50">
  <si>
    <t>FMR Code</t>
  </si>
  <si>
    <t xml:space="preserve">TA </t>
  </si>
  <si>
    <t>Unit</t>
  </si>
  <si>
    <t>DA</t>
  </si>
  <si>
    <t>Refreshment</t>
  </si>
  <si>
    <t>Contingency</t>
  </si>
  <si>
    <t>1 Day Quarterly Review meeting of varoius Programme at Block PHC/UPHC/CHC level to be attended by 2 staff from all Sub Centre ( HWO-Health and Wellness Officer and All Health worker) to be attended by atleast 3 officials from district</t>
  </si>
  <si>
    <t>Lodging</t>
  </si>
  <si>
    <t>Organiser District Officials</t>
  </si>
  <si>
    <t>Organiser State Officials</t>
  </si>
  <si>
    <t>2 day State Level Review meeting of various Programmes(To be attended by all CMO, SMO, DPM, DFM, EA, DEO-HMIS,District ASHA Co-ordinator, DMS, Senior Doctor and NS- District Hospital 10 Nos) 4 Officers plus 6 Non- Officer</t>
  </si>
  <si>
    <t>2 Day Quarterly Review meeting of various Programmesat  District  to be attended by  3 staff from each PHC,UPHCand CHC (1 MO, Accounts Clerk, Community Health Data incharge or Incharge Main Centre to be attended by SPM and 3 staff</t>
  </si>
  <si>
    <t>Amount for one unit</t>
  </si>
  <si>
    <t>Cummulative Amount</t>
  </si>
  <si>
    <t>9*3</t>
  </si>
  <si>
    <t>10*9</t>
  </si>
  <si>
    <t>4*9</t>
  </si>
  <si>
    <t>6*9</t>
  </si>
  <si>
    <t>2*370+86*2</t>
  </si>
  <si>
    <t>Other Staff 6 Person x 9 District</t>
  </si>
  <si>
    <t>4*12</t>
  </si>
  <si>
    <t>Amount Total</t>
  </si>
  <si>
    <t>Award for good Performing Centre</t>
  </si>
  <si>
    <t>3 UPHC</t>
  </si>
  <si>
    <t>3*9</t>
  </si>
  <si>
    <t>Awards for good performer centre</t>
  </si>
  <si>
    <t xml:space="preserve">3 District </t>
  </si>
  <si>
    <t>SC Staff 2 each from 370 SC and 86 Clinic</t>
  </si>
  <si>
    <t>District Officials from 9 district</t>
  </si>
  <si>
    <t>Other Staff 74(57 PHC+8 UPHC+9 CHC)</t>
  </si>
  <si>
    <t>3 PHC/CHC of 9 District</t>
  </si>
  <si>
    <t>State Official led by SPM of 9 District</t>
  </si>
  <si>
    <t>Officer from 9 District</t>
  </si>
  <si>
    <t>Supervisory Visit by MO Team - MO, MC incharge, Asha Mobiliser (Atlest 2 Sub Centre per month)</t>
  </si>
  <si>
    <t>Supervisory Visit by District Team DPM,DFM,HMIS, EA (Atlest 4 PHC/CHC per month)</t>
  </si>
  <si>
    <t>Supervisory Visit by MD with 3 staff (1 district per month)</t>
  </si>
  <si>
    <t>Supervisory Visit by SPM 4 member Team  (Atlest 4 district per month)</t>
  </si>
  <si>
    <t>Medical Officer 76 (59 PHC+8 UPHC+9 CHC)</t>
  </si>
  <si>
    <t>Organiser PHC staff from Total 76 (59 PHC+8 UPHC+9 CHC)</t>
  </si>
  <si>
    <t>3 Sub Centre per Block 76 (59 PHC+8 UPHC+9 CHC)</t>
  </si>
  <si>
    <t>76*3</t>
  </si>
  <si>
    <t>97*2</t>
  </si>
  <si>
    <t>76*5</t>
  </si>
  <si>
    <t>2*12*76</t>
  </si>
  <si>
    <t>Incentives for Creation of population database at Block level</t>
  </si>
  <si>
    <t>370+86</t>
  </si>
  <si>
    <t>Exposure Team  visit by each Sub Centre to Model SC / HWC within Block</t>
  </si>
  <si>
    <t>Exposure Team visit by each PHC/CHC/UPHC  to Model PHC/CHC/UPHC within District</t>
  </si>
  <si>
    <t>Exposure Team visit by each District Officials to 1 Model District</t>
  </si>
  <si>
    <t>16.1.3.1.21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</si>
</sst>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2" borderId="1" xfId="0" applyFont="1" applyFill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O33"/>
  <sheetViews>
    <sheetView tabSelected="1" view="pageBreakPreview" zoomScale="94" zoomScaleNormal="139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A29" sqref="A29"/>
    </sheetView>
  </sheetViews>
  <sheetFormatPr baseColWidth="10" defaultColWidth="8.83203125" defaultRowHeight="15" x14ac:dyDescent="0.2"/>
  <cols>
    <col min="1" max="1" width="10.33203125" style="2" customWidth="1"/>
    <col min="2" max="2" width="45.83203125" style="2" customWidth="1"/>
    <col min="3" max="3" width="16.5" style="2" customWidth="1"/>
    <col min="4" max="13" width="7.83203125" style="9" customWidth="1"/>
    <col min="14" max="15" width="9.1640625" style="9" bestFit="1" customWidth="1"/>
    <col min="16" max="16384" width="8.83203125" style="2"/>
  </cols>
  <sheetData>
    <row r="5" spans="1:15" ht="64" x14ac:dyDescent="0.2">
      <c r="A5" s="2" t="s">
        <v>0</v>
      </c>
      <c r="D5" s="1" t="s">
        <v>2</v>
      </c>
      <c r="E5" s="1" t="s">
        <v>2</v>
      </c>
      <c r="F5" s="1" t="s">
        <v>1</v>
      </c>
      <c r="G5" s="1" t="s">
        <v>5</v>
      </c>
      <c r="H5" s="1" t="s">
        <v>4</v>
      </c>
      <c r="I5" s="1" t="s">
        <v>7</v>
      </c>
      <c r="J5" s="1" t="s">
        <v>3</v>
      </c>
      <c r="K5" s="1" t="s">
        <v>25</v>
      </c>
      <c r="L5" s="1"/>
      <c r="M5" s="1" t="s">
        <v>12</v>
      </c>
      <c r="N5" s="1" t="s">
        <v>21</v>
      </c>
      <c r="O5" s="1" t="s">
        <v>13</v>
      </c>
    </row>
    <row r="7" spans="1:15" ht="80" x14ac:dyDescent="0.2">
      <c r="A7" s="10" t="s">
        <v>49</v>
      </c>
      <c r="B7" s="2" t="s">
        <v>6</v>
      </c>
      <c r="C7" s="3" t="s">
        <v>27</v>
      </c>
      <c r="D7" s="4" t="s">
        <v>18</v>
      </c>
      <c r="E7" s="4">
        <f>2*370+86*2</f>
        <v>912</v>
      </c>
      <c r="F7" s="4">
        <f>300*E7</f>
        <v>273600</v>
      </c>
      <c r="G7" s="4">
        <f>E7*100</f>
        <v>91200</v>
      </c>
      <c r="H7" s="4">
        <f>E7*100</f>
        <v>91200</v>
      </c>
      <c r="I7" s="4"/>
      <c r="J7" s="4">
        <f>E7*300</f>
        <v>273600</v>
      </c>
      <c r="K7" s="4"/>
      <c r="L7" s="4"/>
      <c r="M7" s="5">
        <f t="shared" ref="M7:M24" si="0">SUM(F7:L7)</f>
        <v>729600</v>
      </c>
      <c r="N7" s="5">
        <f>4*M7</f>
        <v>2918400</v>
      </c>
      <c r="O7" s="5">
        <f>N7</f>
        <v>2918400</v>
      </c>
    </row>
    <row r="8" spans="1:15" ht="64" x14ac:dyDescent="0.2">
      <c r="A8" s="10"/>
      <c r="C8" s="3" t="s">
        <v>38</v>
      </c>
      <c r="D8" s="4" t="s">
        <v>42</v>
      </c>
      <c r="E8" s="4">
        <f>76*5</f>
        <v>380</v>
      </c>
      <c r="F8" s="4">
        <v>0</v>
      </c>
      <c r="G8" s="4">
        <f>E8*100</f>
        <v>38000</v>
      </c>
      <c r="H8" s="4">
        <f>E8*100</f>
        <v>38000</v>
      </c>
      <c r="I8" s="4">
        <v>0</v>
      </c>
      <c r="J8" s="4">
        <v>0</v>
      </c>
      <c r="K8" s="4"/>
      <c r="L8" s="4"/>
      <c r="M8" s="5">
        <f t="shared" si="0"/>
        <v>76000</v>
      </c>
      <c r="N8" s="5">
        <f t="shared" ref="N8:N9" si="1">4*M8</f>
        <v>304000</v>
      </c>
      <c r="O8" s="5">
        <f>O7+N8</f>
        <v>3222400</v>
      </c>
    </row>
    <row r="9" spans="1:15" ht="32" x14ac:dyDescent="0.2">
      <c r="A9" s="10"/>
      <c r="C9" s="3" t="s">
        <v>28</v>
      </c>
      <c r="D9" s="4" t="s">
        <v>14</v>
      </c>
      <c r="E9" s="4">
        <f>9*3</f>
        <v>27</v>
      </c>
      <c r="F9" s="4">
        <f>E9*2500</f>
        <v>67500</v>
      </c>
      <c r="G9" s="4">
        <f>E9*100</f>
        <v>2700</v>
      </c>
      <c r="H9" s="4">
        <f>E9*100</f>
        <v>2700</v>
      </c>
      <c r="I9" s="4">
        <f>E9*1000*2</f>
        <v>54000</v>
      </c>
      <c r="J9" s="4">
        <f>E9*500*3</f>
        <v>40500</v>
      </c>
      <c r="K9" s="4"/>
      <c r="L9" s="4"/>
      <c r="M9" s="5">
        <f t="shared" si="0"/>
        <v>167400</v>
      </c>
      <c r="N9" s="5">
        <f t="shared" si="1"/>
        <v>669600</v>
      </c>
      <c r="O9" s="5">
        <f t="shared" ref="O9:O24" si="2">O8+N9</f>
        <v>3892000</v>
      </c>
    </row>
    <row r="10" spans="1:15" ht="43" customHeight="1" x14ac:dyDescent="0.2">
      <c r="A10" s="10"/>
      <c r="B10" s="2" t="s">
        <v>11</v>
      </c>
      <c r="C10" s="6" t="s">
        <v>37</v>
      </c>
      <c r="D10" s="4">
        <v>76</v>
      </c>
      <c r="E10" s="4">
        <v>76</v>
      </c>
      <c r="F10" s="4">
        <f>E10*2000</f>
        <v>152000</v>
      </c>
      <c r="G10" s="4">
        <f t="shared" ref="G10:G16" si="3">E10*100</f>
        <v>7600</v>
      </c>
      <c r="H10" s="4">
        <f t="shared" ref="H10:H16" si="4">E10*100</f>
        <v>7600</v>
      </c>
      <c r="I10" s="4">
        <f>2*500*E10</f>
        <v>76000</v>
      </c>
      <c r="J10" s="4">
        <f>3*E10*500</f>
        <v>114000</v>
      </c>
      <c r="K10" s="4"/>
      <c r="L10" s="4"/>
      <c r="M10" s="5">
        <f t="shared" si="0"/>
        <v>357200</v>
      </c>
      <c r="N10" s="5">
        <f t="shared" ref="N10:N13" si="5">M10*4</f>
        <v>1428800</v>
      </c>
      <c r="O10" s="5">
        <f t="shared" si="2"/>
        <v>5320800</v>
      </c>
    </row>
    <row r="11" spans="1:15" ht="48" x14ac:dyDescent="0.2">
      <c r="A11" s="10"/>
      <c r="C11" s="6" t="s">
        <v>29</v>
      </c>
      <c r="D11" s="4" t="s">
        <v>41</v>
      </c>
      <c r="E11" s="4">
        <f>76*2</f>
        <v>152</v>
      </c>
      <c r="F11" s="4">
        <f>E11*1000</f>
        <v>152000</v>
      </c>
      <c r="G11" s="4">
        <f t="shared" si="3"/>
        <v>15200</v>
      </c>
      <c r="H11" s="4">
        <f t="shared" si="4"/>
        <v>15200</v>
      </c>
      <c r="I11" s="4">
        <f>E11*500*2</f>
        <v>152000</v>
      </c>
      <c r="J11" s="4">
        <f>3*E11*600</f>
        <v>273600</v>
      </c>
      <c r="K11" s="4"/>
      <c r="L11" s="4"/>
      <c r="M11" s="5">
        <f t="shared" si="0"/>
        <v>608000</v>
      </c>
      <c r="N11" s="5">
        <f t="shared" si="5"/>
        <v>2432000</v>
      </c>
      <c r="O11" s="5">
        <f t="shared" si="2"/>
        <v>7752800</v>
      </c>
    </row>
    <row r="12" spans="1:15" ht="32" x14ac:dyDescent="0.2">
      <c r="A12" s="10"/>
      <c r="C12" s="6" t="s">
        <v>8</v>
      </c>
      <c r="D12" s="4" t="s">
        <v>15</v>
      </c>
      <c r="E12" s="4">
        <f>10*9</f>
        <v>90</v>
      </c>
      <c r="F12" s="4">
        <v>0</v>
      </c>
      <c r="G12" s="4">
        <f t="shared" si="3"/>
        <v>9000</v>
      </c>
      <c r="H12" s="4">
        <f t="shared" si="4"/>
        <v>9000</v>
      </c>
      <c r="I12" s="4">
        <v>0</v>
      </c>
      <c r="J12" s="4">
        <v>0</v>
      </c>
      <c r="K12" s="4"/>
      <c r="L12" s="4"/>
      <c r="M12" s="5">
        <f t="shared" si="0"/>
        <v>18000</v>
      </c>
      <c r="N12" s="5">
        <f t="shared" ref="N12" si="6">4*M12</f>
        <v>72000</v>
      </c>
      <c r="O12" s="5">
        <f t="shared" si="2"/>
        <v>7824800</v>
      </c>
    </row>
    <row r="13" spans="1:15" ht="32" x14ac:dyDescent="0.2">
      <c r="A13" s="10"/>
      <c r="C13" s="6" t="s">
        <v>31</v>
      </c>
      <c r="D13" s="4" t="s">
        <v>16</v>
      </c>
      <c r="E13" s="4">
        <f>4*9</f>
        <v>36</v>
      </c>
      <c r="F13" s="4">
        <f>E13*2500</f>
        <v>90000</v>
      </c>
      <c r="G13" s="4">
        <f t="shared" si="3"/>
        <v>3600</v>
      </c>
      <c r="H13" s="4">
        <f t="shared" si="4"/>
        <v>3600</v>
      </c>
      <c r="I13" s="4">
        <f>2*E13*1500</f>
        <v>108000</v>
      </c>
      <c r="J13" s="4">
        <f>3*E13*600</f>
        <v>64800</v>
      </c>
      <c r="K13" s="4"/>
      <c r="L13" s="4"/>
      <c r="M13" s="5">
        <f t="shared" si="0"/>
        <v>270000</v>
      </c>
      <c r="N13" s="5">
        <f t="shared" si="5"/>
        <v>1080000</v>
      </c>
      <c r="O13" s="5">
        <f t="shared" si="2"/>
        <v>8904800</v>
      </c>
    </row>
    <row r="14" spans="1:15" ht="36.5" customHeight="1" x14ac:dyDescent="0.2">
      <c r="A14" s="10"/>
      <c r="B14" s="2" t="s">
        <v>10</v>
      </c>
      <c r="C14" s="6" t="s">
        <v>32</v>
      </c>
      <c r="D14" s="4" t="s">
        <v>16</v>
      </c>
      <c r="E14" s="4">
        <f>4*9</f>
        <v>36</v>
      </c>
      <c r="F14" s="4">
        <f>E14*3500</f>
        <v>126000</v>
      </c>
      <c r="G14" s="4">
        <f t="shared" si="3"/>
        <v>3600</v>
      </c>
      <c r="H14" s="4">
        <f t="shared" si="4"/>
        <v>3600</v>
      </c>
      <c r="I14" s="4">
        <f>2*E14*1500</f>
        <v>108000</v>
      </c>
      <c r="J14" s="4">
        <f>3*E14*600</f>
        <v>64800</v>
      </c>
      <c r="K14" s="4"/>
      <c r="L14" s="4"/>
      <c r="M14" s="5">
        <f t="shared" si="0"/>
        <v>306000</v>
      </c>
      <c r="N14" s="5">
        <f>M14*4</f>
        <v>1224000</v>
      </c>
      <c r="O14" s="5">
        <f t="shared" si="2"/>
        <v>10128800</v>
      </c>
    </row>
    <row r="15" spans="1:15" ht="32" x14ac:dyDescent="0.2">
      <c r="A15" s="10"/>
      <c r="C15" s="6" t="s">
        <v>19</v>
      </c>
      <c r="D15" s="4" t="s">
        <v>17</v>
      </c>
      <c r="E15" s="4">
        <f>6*9</f>
        <v>54</v>
      </c>
      <c r="F15" s="4">
        <f>E15*1500</f>
        <v>81000</v>
      </c>
      <c r="G15" s="4">
        <f t="shared" si="3"/>
        <v>5400</v>
      </c>
      <c r="H15" s="4">
        <f t="shared" si="4"/>
        <v>5400</v>
      </c>
      <c r="I15" s="4">
        <f>2*E15*1000</f>
        <v>108000</v>
      </c>
      <c r="J15" s="4">
        <f>3*E15*600</f>
        <v>97200</v>
      </c>
      <c r="K15" s="4"/>
      <c r="L15" s="4"/>
      <c r="M15" s="5">
        <f t="shared" si="0"/>
        <v>297000</v>
      </c>
      <c r="N15" s="5">
        <f>M15*4</f>
        <v>1188000</v>
      </c>
      <c r="O15" s="5">
        <f t="shared" si="2"/>
        <v>11316800</v>
      </c>
    </row>
    <row r="16" spans="1:15" ht="32" x14ac:dyDescent="0.2">
      <c r="A16" s="10"/>
      <c r="C16" s="6" t="s">
        <v>9</v>
      </c>
      <c r="D16" s="4">
        <v>10</v>
      </c>
      <c r="E16" s="4">
        <v>10</v>
      </c>
      <c r="F16" s="4">
        <v>0</v>
      </c>
      <c r="G16" s="4">
        <f t="shared" si="3"/>
        <v>1000</v>
      </c>
      <c r="H16" s="4">
        <f t="shared" si="4"/>
        <v>1000</v>
      </c>
      <c r="I16" s="4">
        <v>0</v>
      </c>
      <c r="J16" s="4">
        <v>0</v>
      </c>
      <c r="K16" s="4"/>
      <c r="L16" s="4"/>
      <c r="M16" s="5">
        <f t="shared" si="0"/>
        <v>2000</v>
      </c>
      <c r="N16" s="5">
        <f>M16*4</f>
        <v>8000</v>
      </c>
      <c r="O16" s="5">
        <f t="shared" si="2"/>
        <v>11324800</v>
      </c>
    </row>
    <row r="17" spans="1:15" ht="48" x14ac:dyDescent="0.2">
      <c r="A17" s="10"/>
      <c r="B17" s="2" t="s">
        <v>22</v>
      </c>
      <c r="C17" s="7" t="s">
        <v>39</v>
      </c>
      <c r="D17" s="4" t="s">
        <v>40</v>
      </c>
      <c r="E17" s="4">
        <f>76*3</f>
        <v>228</v>
      </c>
      <c r="F17" s="4"/>
      <c r="G17" s="4"/>
      <c r="H17" s="4"/>
      <c r="I17" s="4"/>
      <c r="J17" s="4"/>
      <c r="K17" s="4">
        <f>E17*1000</f>
        <v>228000</v>
      </c>
      <c r="L17" s="4"/>
      <c r="M17" s="5">
        <f t="shared" si="0"/>
        <v>228000</v>
      </c>
      <c r="N17" s="5">
        <f>M17</f>
        <v>228000</v>
      </c>
      <c r="O17" s="5">
        <f t="shared" si="2"/>
        <v>11552800</v>
      </c>
    </row>
    <row r="18" spans="1:15" ht="32" x14ac:dyDescent="0.2">
      <c r="A18" s="10"/>
      <c r="C18" s="7" t="s">
        <v>30</v>
      </c>
      <c r="D18" s="4" t="s">
        <v>24</v>
      </c>
      <c r="E18" s="4">
        <f>3*9</f>
        <v>27</v>
      </c>
      <c r="F18" s="4"/>
      <c r="G18" s="4"/>
      <c r="H18" s="4"/>
      <c r="I18" s="4"/>
      <c r="J18" s="4"/>
      <c r="K18" s="4">
        <f>E18*1500</f>
        <v>40500</v>
      </c>
      <c r="L18" s="4"/>
      <c r="M18" s="5">
        <f t="shared" si="0"/>
        <v>40500</v>
      </c>
      <c r="N18" s="5">
        <f t="shared" ref="N18:N28" si="7">M18</f>
        <v>40500</v>
      </c>
      <c r="O18" s="5">
        <f t="shared" si="2"/>
        <v>11593300</v>
      </c>
    </row>
    <row r="19" spans="1:15" ht="16" x14ac:dyDescent="0.2">
      <c r="A19" s="10"/>
      <c r="C19" s="7" t="s">
        <v>23</v>
      </c>
      <c r="D19" s="4">
        <v>3</v>
      </c>
      <c r="E19" s="4">
        <v>3</v>
      </c>
      <c r="F19" s="4"/>
      <c r="G19" s="4"/>
      <c r="H19" s="4"/>
      <c r="I19" s="4"/>
      <c r="J19" s="4"/>
      <c r="K19" s="4">
        <f>E19*2000</f>
        <v>6000</v>
      </c>
      <c r="L19" s="4"/>
      <c r="M19" s="5">
        <f t="shared" si="0"/>
        <v>6000</v>
      </c>
      <c r="N19" s="5">
        <f t="shared" si="7"/>
        <v>6000</v>
      </c>
      <c r="O19" s="5">
        <f t="shared" si="2"/>
        <v>11599300</v>
      </c>
    </row>
    <row r="20" spans="1:15" ht="16" x14ac:dyDescent="0.2">
      <c r="A20" s="10"/>
      <c r="C20" s="7" t="s">
        <v>26</v>
      </c>
      <c r="D20" s="4">
        <v>3</v>
      </c>
      <c r="E20" s="4">
        <v>3</v>
      </c>
      <c r="F20" s="4"/>
      <c r="G20" s="4"/>
      <c r="H20" s="4"/>
      <c r="I20" s="4"/>
      <c r="J20" s="4"/>
      <c r="K20" s="4">
        <f>5000*E20</f>
        <v>15000</v>
      </c>
      <c r="L20" s="4"/>
      <c r="M20" s="5">
        <f t="shared" si="0"/>
        <v>15000</v>
      </c>
      <c r="N20" s="5">
        <f t="shared" si="7"/>
        <v>15000</v>
      </c>
      <c r="O20" s="5">
        <f t="shared" si="2"/>
        <v>11614300</v>
      </c>
    </row>
    <row r="21" spans="1:15" ht="32" x14ac:dyDescent="0.2">
      <c r="A21" s="10"/>
      <c r="B21" s="2" t="s">
        <v>36</v>
      </c>
      <c r="C21" s="7"/>
      <c r="D21" s="4" t="s">
        <v>20</v>
      </c>
      <c r="E21" s="4">
        <f>4*12</f>
        <v>48</v>
      </c>
      <c r="F21" s="4">
        <f>E21*8000</f>
        <v>384000</v>
      </c>
      <c r="G21" s="4"/>
      <c r="H21" s="4"/>
      <c r="I21" s="4">
        <f>2*4*1000*E21</f>
        <v>384000</v>
      </c>
      <c r="J21" s="4">
        <f>3*4*1000*E21</f>
        <v>576000</v>
      </c>
      <c r="K21" s="4"/>
      <c r="L21" s="4"/>
      <c r="M21" s="5">
        <f t="shared" si="0"/>
        <v>1344000</v>
      </c>
      <c r="N21" s="5">
        <f t="shared" si="7"/>
        <v>1344000</v>
      </c>
      <c r="O21" s="5">
        <f t="shared" si="2"/>
        <v>12958300</v>
      </c>
    </row>
    <row r="22" spans="1:15" ht="32" x14ac:dyDescent="0.2">
      <c r="A22" s="10"/>
      <c r="B22" s="2" t="s">
        <v>34</v>
      </c>
      <c r="C22" s="7"/>
      <c r="D22" s="4" t="s">
        <v>20</v>
      </c>
      <c r="E22" s="4">
        <f>4*12</f>
        <v>48</v>
      </c>
      <c r="F22" s="4">
        <f>E22*3000</f>
        <v>144000</v>
      </c>
      <c r="G22" s="4"/>
      <c r="H22" s="4"/>
      <c r="I22" s="4">
        <f>2*4*500*E22</f>
        <v>192000</v>
      </c>
      <c r="J22" s="4">
        <f>3*4*600*E22</f>
        <v>345600</v>
      </c>
      <c r="K22" s="4"/>
      <c r="L22" s="4"/>
      <c r="M22" s="5">
        <f t="shared" si="0"/>
        <v>681600</v>
      </c>
      <c r="N22" s="5">
        <f t="shared" si="7"/>
        <v>681600</v>
      </c>
      <c r="O22" s="5">
        <f t="shared" si="2"/>
        <v>13639900</v>
      </c>
    </row>
    <row r="23" spans="1:15" ht="32" x14ac:dyDescent="0.2">
      <c r="A23" s="10"/>
      <c r="B23" s="2" t="s">
        <v>33</v>
      </c>
      <c r="C23" s="7"/>
      <c r="D23" s="4" t="s">
        <v>43</v>
      </c>
      <c r="E23" s="4">
        <f>2*12*76</f>
        <v>1824</v>
      </c>
      <c r="F23" s="4">
        <f>E23*500</f>
        <v>912000</v>
      </c>
      <c r="G23" s="4"/>
      <c r="H23" s="4"/>
      <c r="I23" s="4">
        <v>0</v>
      </c>
      <c r="J23" s="4">
        <f>3*100*E23</f>
        <v>547200</v>
      </c>
      <c r="K23" s="4"/>
      <c r="L23" s="4"/>
      <c r="M23" s="5">
        <f t="shared" si="0"/>
        <v>1459200</v>
      </c>
      <c r="N23" s="5">
        <f t="shared" si="7"/>
        <v>1459200</v>
      </c>
      <c r="O23" s="5">
        <f t="shared" si="2"/>
        <v>15099100</v>
      </c>
    </row>
    <row r="24" spans="1:15" ht="16" x14ac:dyDescent="0.2">
      <c r="A24" s="10"/>
      <c r="B24" s="2" t="s">
        <v>35</v>
      </c>
      <c r="C24" s="7"/>
      <c r="D24" s="4">
        <v>12</v>
      </c>
      <c r="E24" s="4">
        <f>12</f>
        <v>12</v>
      </c>
      <c r="F24" s="4">
        <f>E24*8000</f>
        <v>96000</v>
      </c>
      <c r="G24" s="4"/>
      <c r="H24" s="4"/>
      <c r="I24" s="4">
        <f>2*4*1000*E24</f>
        <v>96000</v>
      </c>
      <c r="J24" s="4">
        <f>3*4*1000*E24</f>
        <v>144000</v>
      </c>
      <c r="K24" s="4"/>
      <c r="L24" s="4"/>
      <c r="M24" s="5">
        <f t="shared" si="0"/>
        <v>336000</v>
      </c>
      <c r="N24" s="5">
        <f t="shared" si="7"/>
        <v>336000</v>
      </c>
      <c r="O24" s="5">
        <f t="shared" si="2"/>
        <v>15435100</v>
      </c>
    </row>
    <row r="25" spans="1:15" ht="32" x14ac:dyDescent="0.2">
      <c r="A25" s="10"/>
      <c r="B25" s="2" t="s">
        <v>44</v>
      </c>
      <c r="D25" s="8">
        <v>76</v>
      </c>
      <c r="E25" s="8">
        <v>76</v>
      </c>
      <c r="F25" s="8"/>
      <c r="G25" s="8"/>
      <c r="H25" s="8"/>
      <c r="I25" s="8"/>
      <c r="J25" s="8"/>
      <c r="K25" s="8"/>
      <c r="L25" s="8">
        <f>E25*50000</f>
        <v>3800000</v>
      </c>
      <c r="M25" s="5">
        <f t="shared" ref="M25:M26" si="8">SUM(F25:L25)</f>
        <v>3800000</v>
      </c>
      <c r="N25" s="5">
        <f t="shared" si="7"/>
        <v>3800000</v>
      </c>
      <c r="O25" s="5">
        <f t="shared" ref="O25:O26" si="9">O24+N25</f>
        <v>19235100</v>
      </c>
    </row>
    <row r="26" spans="1:15" ht="32" x14ac:dyDescent="0.2">
      <c r="A26" s="10"/>
      <c r="B26" s="2" t="s">
        <v>46</v>
      </c>
      <c r="D26" s="8" t="s">
        <v>45</v>
      </c>
      <c r="E26" s="8">
        <f>370+87</f>
        <v>457</v>
      </c>
      <c r="F26" s="8"/>
      <c r="G26" s="8"/>
      <c r="H26" s="8"/>
      <c r="I26" s="8"/>
      <c r="J26" s="8"/>
      <c r="K26" s="8"/>
      <c r="L26" s="8">
        <f>E26*1000</f>
        <v>457000</v>
      </c>
      <c r="M26" s="5">
        <f t="shared" si="8"/>
        <v>457000</v>
      </c>
      <c r="N26" s="5">
        <f t="shared" si="7"/>
        <v>457000</v>
      </c>
      <c r="O26" s="5">
        <f t="shared" si="9"/>
        <v>19692100</v>
      </c>
    </row>
    <row r="27" spans="1:15" ht="32" x14ac:dyDescent="0.2">
      <c r="A27" s="10"/>
      <c r="B27" s="2" t="s">
        <v>47</v>
      </c>
      <c r="D27" s="8">
        <v>76</v>
      </c>
      <c r="E27" s="8">
        <v>76</v>
      </c>
      <c r="F27" s="8"/>
      <c r="G27" s="8"/>
      <c r="H27" s="8"/>
      <c r="I27" s="8"/>
      <c r="J27" s="8"/>
      <c r="K27" s="8"/>
      <c r="L27" s="8">
        <f>E27*10000</f>
        <v>760000</v>
      </c>
      <c r="M27" s="5">
        <f t="shared" ref="M27:M28" si="10">SUM(F27:L27)</f>
        <v>760000</v>
      </c>
      <c r="N27" s="5">
        <f t="shared" si="7"/>
        <v>760000</v>
      </c>
      <c r="O27" s="5">
        <f t="shared" ref="O27:O28" si="11">O26+N27</f>
        <v>20452100</v>
      </c>
    </row>
    <row r="28" spans="1:15" ht="32" x14ac:dyDescent="0.2">
      <c r="A28" s="10"/>
      <c r="B28" s="2" t="s">
        <v>48</v>
      </c>
      <c r="D28" s="8">
        <v>9</v>
      </c>
      <c r="E28" s="8">
        <v>9</v>
      </c>
      <c r="F28" s="8"/>
      <c r="G28" s="8"/>
      <c r="H28" s="8"/>
      <c r="I28" s="8"/>
      <c r="J28" s="8"/>
      <c r="K28" s="8"/>
      <c r="L28" s="8">
        <f>E28*30000</f>
        <v>270000</v>
      </c>
      <c r="M28" s="5">
        <f t="shared" si="10"/>
        <v>270000</v>
      </c>
      <c r="N28" s="5">
        <f t="shared" si="7"/>
        <v>270000</v>
      </c>
      <c r="O28" s="5">
        <f t="shared" si="11"/>
        <v>20722100</v>
      </c>
    </row>
    <row r="32" spans="1:15" x14ac:dyDescent="0.2">
      <c r="N32" s="9">
        <v>0</v>
      </c>
    </row>
    <row r="33" spans="14:14" x14ac:dyDescent="0.2">
      <c r="N33" s="9">
        <f>SUM(N7:N32)</f>
        <v>20722100</v>
      </c>
    </row>
  </sheetData>
  <autoFilter ref="B6:O31" xr:uid="{00000000-0009-0000-0000-000000000000}"/>
  <mergeCells count="1">
    <mergeCell ref="A7:A28"/>
  </mergeCells>
  <pageMargins left="0.7" right="0.7" top="0.75" bottom="0.75" header="0.3" footer="0.3"/>
  <pageSetup paperSize="9" scale="72" fitToHeight="0" orientation="landscape" verticalDpi="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2020-01-20T09:49:57Z</dcterms:modified>
</cp:coreProperties>
</file>