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11670" activeTab="4"/>
  </bookViews>
  <sheets>
    <sheet name="Link Tello" sheetId="11" r:id="rId1"/>
    <sheet name="Link Tello Summary" sheetId="12" r:id="rId2"/>
    <sheet name="Consolidated NVBDCP" sheetId="9" r:id="rId3"/>
    <sheet name="NVBDCP" sheetId="8" r:id="rId4"/>
    <sheet name="Summary" sheetId="1" r:id="rId5"/>
    <sheet name="IEC for Malaria" sheetId="2" r:id="rId6"/>
    <sheet name="IEC for Social Mobilization" sheetId="4" r:id="rId7"/>
    <sheet name="mne" sheetId="5" r:id="rId8"/>
    <sheet name="TRC Mobility" sheetId="6" r:id="rId9"/>
    <sheet name="TRC" sheetId="7" r:id="rId10"/>
    <sheet name="ASHA Performance" sheetId="3" r:id="rId11"/>
  </sheets>
  <definedNames>
    <definedName name="_xlnm.Print_Area" localSheetId="5">'IEC for Malaria'!$A$1:$X$15</definedName>
    <definedName name="_xlnm.Print_Area" localSheetId="6">'IEC for Social Mobilization'!$A$1:$X$15</definedName>
    <definedName name="_xlnm.Print_Area" localSheetId="7">mne!$A$1:$X$15</definedName>
    <definedName name="_xlnm.Print_Area" localSheetId="9">TRC!$A$1:$X$15</definedName>
    <definedName name="_xlnm.Print_Area" localSheetId="8">'TRC Mobility'!$A$1:$X$14</definedName>
    <definedName name="_xlnm.Print_Titles" localSheetId="1">'Link Tello Summary'!$1:$2</definedName>
    <definedName name="_xlnm.Print_Titles" localSheetId="4">Summary!$1:$2</definedName>
  </definedNames>
  <calcPr calcId="144525"/>
</workbook>
</file>

<file path=xl/sharedStrings.xml><?xml version="1.0" encoding="utf-8"?>
<sst xmlns="http://schemas.openxmlformats.org/spreadsheetml/2006/main" count="792" uniqueCount="262">
  <si>
    <t>NVBDCP</t>
  </si>
  <si>
    <t>FMR</t>
  </si>
  <si>
    <t>Budget Head</t>
  </si>
  <si>
    <t>Particulars</t>
  </si>
  <si>
    <t>Total Proposed</t>
  </si>
  <si>
    <t>State</t>
  </si>
  <si>
    <t>Aizawl East</t>
  </si>
  <si>
    <t>Aizawl West</t>
  </si>
  <si>
    <t>Champhai</t>
  </si>
  <si>
    <t>Kolasib</t>
  </si>
  <si>
    <t>Lawngtlai</t>
  </si>
  <si>
    <t>Lunglei</t>
  </si>
  <si>
    <t>Mamit</t>
  </si>
  <si>
    <t>Siaha</t>
  </si>
  <si>
    <t>Serchhip</t>
  </si>
  <si>
    <t>1.1.5.1</t>
  </si>
  <si>
    <t>Dengue and Chikungunya Case Management</t>
  </si>
  <si>
    <t>3.1.1.4.1</t>
  </si>
  <si>
    <t>ASHA Incentives Honorarium for Malaria</t>
  </si>
  <si>
    <t>3.2.5.1.1</t>
  </si>
  <si>
    <t>Operational Cost for Spray Wages</t>
  </si>
  <si>
    <t>3.2.5.1.2</t>
  </si>
  <si>
    <t>Operational Cost for IRS</t>
  </si>
  <si>
    <t>3.2.5.2.1</t>
  </si>
  <si>
    <t>Dengue and Chikungunya : Vector Control, Environmental Management Fogging Machine</t>
  </si>
  <si>
    <t>6.1.2.2.c</t>
  </si>
  <si>
    <t>Non Health Equiptment (NHP)-GFATM</t>
  </si>
  <si>
    <t>6.2.12.1</t>
  </si>
  <si>
    <t>MFP</t>
  </si>
  <si>
    <t>Chloroquine Phosphate Tablet</t>
  </si>
  <si>
    <t>6.2.12.2</t>
  </si>
  <si>
    <t>Primaquine Tablet 2.5 mg</t>
  </si>
  <si>
    <t>6.2.12.3</t>
  </si>
  <si>
    <t>Primaquine tablets</t>
  </si>
  <si>
    <t>7.5 mg</t>
  </si>
  <si>
    <t>6.2.12.4</t>
  </si>
  <si>
    <t>Quinine sulphate tablets</t>
  </si>
  <si>
    <t>6.2.12.5</t>
  </si>
  <si>
    <t>Quinine Injections and Artesunate Injection</t>
  </si>
  <si>
    <t>6.2.12.8</t>
  </si>
  <si>
    <t>Dengue NS1 antigen kit</t>
  </si>
  <si>
    <t>6.2.12.12</t>
  </si>
  <si>
    <t>RDT Malaria – bi-valent (For Non Project states)</t>
  </si>
  <si>
    <t>6.2.12.17</t>
  </si>
  <si>
    <t>Any others</t>
  </si>
  <si>
    <t>8.4.10</t>
  </si>
  <si>
    <t>Honorarium for 9 Sentinel Surveilance Hospital under NVBDCP</t>
  </si>
  <si>
    <t>9.5.12.1</t>
  </si>
  <si>
    <t>Training / Capacity Building</t>
  </si>
  <si>
    <t>9.5.12.2</t>
  </si>
  <si>
    <t>Training Workshop (Dengue &amp; Chikungunya)</t>
  </si>
  <si>
    <t>10.3.1.2</t>
  </si>
  <si>
    <t>Sentinel Surveilance Hospital Recurrence</t>
  </si>
  <si>
    <t>11.15.1</t>
  </si>
  <si>
    <t>IEC/ BCC for Malaria</t>
  </si>
  <si>
    <t>11.15.2</t>
  </si>
  <si>
    <t>IEC/BCC for Social Mobilization</t>
  </si>
  <si>
    <t>11.15.6</t>
  </si>
  <si>
    <t>IEC/BCC activities as per GFATM Project</t>
  </si>
  <si>
    <t>12.11.2</t>
  </si>
  <si>
    <t>Communication Materials and Publication Materials (CMP) - GFATM</t>
  </si>
  <si>
    <t>16.1.2.1.18</t>
  </si>
  <si>
    <t>GFATM Review Meeting</t>
  </si>
  <si>
    <t>16.1.2.2.6</t>
  </si>
  <si>
    <t>Monitoring, Evaluation and Supervision</t>
  </si>
  <si>
    <t>16.1.3.1.10</t>
  </si>
  <si>
    <t>GFATM Project Travel Related Cost (TRC) - Mobility</t>
  </si>
  <si>
    <t>16.1.3.2.1</t>
  </si>
  <si>
    <t>Zonal Entomological Unit</t>
  </si>
  <si>
    <t>16.1.4.1.6</t>
  </si>
  <si>
    <t>Contingency Suport NVBDCP</t>
  </si>
  <si>
    <t>16.1.5.2.2</t>
  </si>
  <si>
    <t>Travel Related Cost (TRC)</t>
  </si>
  <si>
    <t>16.1.5.3.8</t>
  </si>
  <si>
    <t>Monitoring, Evaluation &amp; Supervision &amp; Epidemic Preparedness-cost of NAMMIS</t>
  </si>
  <si>
    <t>16.4.1.4.2</t>
  </si>
  <si>
    <t>HR</t>
  </si>
  <si>
    <t>Consultant / Programme Officer</t>
  </si>
  <si>
    <t>M&amp;E Consultant</t>
  </si>
  <si>
    <t>SPH Consultant</t>
  </si>
  <si>
    <t>PSCM Consultant</t>
  </si>
  <si>
    <t>IEC/BCC Consultant</t>
  </si>
  <si>
    <t>Finance Consultant</t>
  </si>
  <si>
    <t>16.4.1.4.7</t>
  </si>
  <si>
    <t>Account Staffs</t>
  </si>
  <si>
    <t>Statistic xum Account Asst.</t>
  </si>
  <si>
    <t>16.4.1.4.8</t>
  </si>
  <si>
    <t>Admisnistratice Staffs</t>
  </si>
  <si>
    <t>Secretarial Asst cum DEO</t>
  </si>
  <si>
    <t>16.4.2.2.2</t>
  </si>
  <si>
    <t>Consultants/ Programme Officers</t>
  </si>
  <si>
    <t>DVBD Consultant</t>
  </si>
  <si>
    <t>16.4.3.2.6</t>
  </si>
  <si>
    <t>Secrearial Asst. cum DEO cum Accountant</t>
  </si>
  <si>
    <t>16.4.2.2.7</t>
  </si>
  <si>
    <t>Supervisors</t>
  </si>
  <si>
    <t>Malaria Technical Supervisors</t>
  </si>
  <si>
    <t>G. TOTAL</t>
  </si>
  <si>
    <t>GFATM</t>
  </si>
  <si>
    <t>DBS</t>
  </si>
  <si>
    <t>FMR Code</t>
  </si>
  <si>
    <t>Rop 19 - 20</t>
  </si>
  <si>
    <t>Diff wt 19-20 &amp; 20 - 21</t>
  </si>
  <si>
    <t>Rate</t>
  </si>
  <si>
    <t>Quantity</t>
  </si>
  <si>
    <t>Amount</t>
  </si>
  <si>
    <t>Remarks</t>
  </si>
  <si>
    <t>TOTAL</t>
  </si>
  <si>
    <t>Dengue and Chikungunya Case management for 2 identified Sentinel Site Hospital:
1) Civil Hospital, Aizawl - Rs 1,00,000/-
2) Civil Hospital, Lunglei - Rs. 1,00,000/-</t>
  </si>
  <si>
    <t>1) ASHA Incentives for Blood Test @ Rs.15 per test - Rs. 10,84,920/-
2)ASHA Incentives for positive patient treatment @ Rs. 75 per patient - Rs. 2,94,000/-</t>
  </si>
  <si>
    <t>113 no of spraymen propose for one round of Indoor Residual Spray (IRS); 2 round to be completed in a year. Sparaymen wages @Rs.380 per day as per minimum wages in the state.
1) For 1st Round of IRS Operation - Rs. 25.76/- Lakhs
2) For 2nd Round of IRS Operation - Rs. 25.76/- Lakhs</t>
  </si>
  <si>
    <t>1) Purchase of Hand Compressor Pump 10 Qty. @ Rs. 8,000 per pump - Rs. 80,000/-
2)Purchase of HC Pump Spare Part - Rs. 2,00,000/-
3) Dropping of DDT to District from State HQ - Rs. 6,30,000/-
4) Purchase of Personal Protection Gear, Measuring equiptment etc. - Rs. 7,70,000/-
5) Droping of DDT from District to periphery Level - Rs. 9,21,200/-</t>
  </si>
  <si>
    <t>For strengthening vector control of Dengue &amp; Chikungunya nad maintenace of fogging machine and others equitpment Rs. 2.00/- Lakhs is proposed.</t>
  </si>
  <si>
    <t xml:space="preserve">For maintenace of MTS bike, as per Norms; Rs. 2800 per bike for 22 bikes amounting to Rs. 61,600 is propose </t>
  </si>
  <si>
    <t>Requirement of  643100 tabs of Chloroquine phosphate @ Re.0.40 per tab is prepared from taking the average number of  blood collection conducted during the last 3 years and considering all stock points and after deducting the balance available as 80% are assumed to expire on 05.2019. Total budget planned for procurement of Chloroquine phosphate tabs amounts to Rs.2,57,240/-</t>
  </si>
  <si>
    <t>Requirement of 149465 tabs of Primaquine 2.5mg @Rs. 0.67 is prepared from the average Pv case during last three years and considering all stock points and after deducting the valid balance available as 60% from the available balance is assumed to be expired during 02.2019 . Total budget planned for procurement of Primaquine Phosphate 2.5mg tab amounts to Rs. 1,00,142/-</t>
  </si>
  <si>
    <t>Primaquine tablets
7.5 mg</t>
  </si>
  <si>
    <t>Requirement of  255855 tabs of Primaquine 7.5mg @Rs.0.99 per tab is prepared from the average Pv case and Pf case during last three years and considering all stock points and after deducting the valid balance available as 40% is assumed to expired during 023.2019 and 07.2019. Total budget planned for procurement of Primaquine 7.5mg amounts to Rs.2,53,296/-</t>
  </si>
  <si>
    <t>Requirement of 6595 tabs of Quinine Sulphate Tablets @Rs.2.63 per tab is also calculated from taking the average Pf case from last 3 years performance and considering all stock points and after deducting the balance available. As the state is a highly endemic state the current stock will not be sufficient enough to cover all the stock points and as to avoid stock out requirement is prepared. Total budget plan for procurement of Quinine Sulphate tabs amounts to Rs.17,345/-</t>
  </si>
  <si>
    <t>Requirement of 3522 amps @Rs.4.00 per amp of Quinine Injection is prepared from the average case of last three years and considering all stock points and after deducting the available balance. Rs. 14088/-</t>
  </si>
  <si>
    <t>There are 2 Sentinel Surveillance Hospital (SSH Aizawl and SSH Lunglei), requirement of 6 kits for SSH Aizawl and 4 kits for SSH Lunglei @Rs.6680.00 per kit is prepared. Total budget proposed for procurement of NSI amounts to Rs. 66,800/-</t>
  </si>
  <si>
    <t>For 163901 Lakh RDT @Rs. 25 per RDT Rs. 40,97,525/-  is proposed</t>
  </si>
  <si>
    <t>For Purchase of Consumable:
1. Deltamethrine 2.5%: Rs. 1990000/- is proposed for purchase of 2000 ltr. Of Deltamethrine 2.5% for impregnation of 100000 community own bednet @ Rs. 995/- per ltr. (20 ml per bednet)
Total amount proposed is Rs. 19,19,000/-
As Mizoram state as a whole is Malaria endemic state, it is essential that  anti malarial drugs like ACT-AL (all age group) are available at all times in all health facilities. And 25% of the state requirement can be procured by the state from Flexi Fund, as such requirement is prepared and proposed as mentioned below:
2. ACT-AL (6 months – 3 yrs): Rs. 6,04,062/- is proposed for purchase of 8163 courses @Rs. 74/- per course.
3. ACT-AL (3-8 yrs): Rs. 10,83,804/- is proposed for purchase of 7323courses @ Rs. 148/- per course.
4. ACT-AL (9-14 yrs): Rs. 11,98,800/- is proposed for purchase of 5400  courses @ Rs. 222/- per 
5. ACT-AL ( +14 yrs): Rs. 17,51,728/- is proposed for purchase of 5918 courses @ Rs. 296/- per 
6. Slide is propose for purchase of 5918 boxes @ 116/- total amount is Rs 6,86,488/-
7. Blood Lancet is propose for purchase of 300000 @0.85 total amounts to Rs255000/-
8. Spirit 75ml is propose for purchase of 3000bot.@ Rs 45/- total amounts to Rs135000/-
Total is Rs76,33,882/-
Procurement of 29 MT DDT - Rs. 55.67/- Lakhs</t>
  </si>
  <si>
    <t>All District Hospital were identified as Sentinel Surveilance Hospital for Malaria with Designated 9 MOs @ Rs. 5000 per month &amp; 9 LTs @ Rs.3000 per month</t>
  </si>
  <si>
    <t>1) For IRS Prespray Meeting - rs. 1,99,000/-
2) For DMO, M&amp;E and SPH Consultant Training - Rs. 5,28,000/-
3) For Health Worker Training - Rs. 14,77,350/-</t>
  </si>
  <si>
    <t>For Sensitization of NVBDCP Staff in the State.</t>
  </si>
  <si>
    <t xml:space="preserve">For running of 2 SSH under Dengue &amp; Chikungunya Rs. 1.00/- Lakhs each is proposed as per norms. </t>
  </si>
  <si>
    <t>1) Radio Talk / Jingle 10 Nos @ Rs. 2750 - Rs. 27,500/-
2) TV Spot Ads 90 Nos @ Rs 500 - Rs. 45,000/-
3) Print Ads 40 Nos @ Rs. 1500 - Rs. 60,000/-
4) Source Reduction Drive 216 Nos @ Rs. 3500 - Rs. 7,56,000
5) Awareness Campaign to Schools/NGOs/CBO 216 Nos @ Rs 3500 - Rs. 7,56,000/-
6) House to House Campaign 81,000 Nos @ Rs 10 - Rs. 8,10,000/-
7) Wall Painting 2 Nos @ Rs. 20,000 - Rs. 40,000/-
8) Anti- Malaria Month 94 Nos @ Rs. 5937 - Rs. 8,58,078/-
9) World Malaria Day 95 Nos @ Rs. 7938 - Rs.7,5,4,110/-
10)Monthly Anti- Malarial Day 996 Nos @ Rs. 3000 - Rs. 29,88,000/-
11) Sensitization/ Advocacy Meeting 9 Nos @ Rs. 5000 - Rs. 45,000/-</t>
  </si>
  <si>
    <t>1) National Dengue Day 97 Nos @ Rs. 7938 - Rs. 7,69,986/-
2) Anti Dengue Month 96 Nos @Rs. 5937 - Rs. 5,69,952/-
3) Radio talk/discussion 4 Nos @Rs. 2750 - Rs. 11,000/-
4) TV talk/Discussion 2 Nos. @Rs. 50,000 - Rs. 1,00,000/-
5) TV Spot Ads 2 Nos. @ Rs. 13,500 - Rs. 27,000/-
6) Display Ads 50 Nos. @ Rs. 1500 - Rs. 75,000/-
7) Banner 20 Nos. @ Rs. 1500 - Rs. 30,000/-
8) Awareness Campaign 216 Nos. @ Rs. 3500 - Rs. 7,56,000/-
9) Source Reduction Drive 216 Nos. @ Rs. 3500 - Rs. 7,56,000/-</t>
  </si>
  <si>
    <t>1) Miking 360 Nos. @ Rs. 1000 - Rs. 3,60,000/-</t>
  </si>
  <si>
    <t>1) Flex board for 1579 schools @ Rs 1500 - Rs. 23,68,500/-</t>
  </si>
  <si>
    <t>1) For conducting Regional review Meeting @ Rs. 7,00,000/-
2) Travel and accomodation expenses to attend Regional Review Meeting @ Rs. 24,000 per head per RRM - Rs. 2,40,000/-
3) For conductiong State Review Meeting @ Rs. 80,000 per SRM - Rs. 3,20,000/-
4) For conducting District Review Meeting @ Rs. 15,000 per District per meeting - Rs.5,40,000/-</t>
  </si>
  <si>
    <t>1) Monitoring and Supervision from State Level - Rs. 40,36,000/-
2) Monitoring and Supervision from District Level - Rs. 19,54,800/-
3) Hiring of vehicles for Supervision and Monitoring coming from National Levels and Regional Level Deligates - Rs. 2,50,000/-
4) Maintence of motor Vehicles 10 Nos @ Rs. 50,000 per vehicles - Rs. 5,00,000/-
5) Freight and Insuarance of ACT-AL &amp; RDT - Rs. 1,00,000/-</t>
  </si>
  <si>
    <t>1) POL for State @ Rs. 38,500 per month - Rs. 41,58,000/-
2) POL for Districts 9 Districts @ Rs 18,000 per month - Rs. 19,44,000/-
3) POL for MTS 22 MTS @ Rs. 2,500 per month - Rs. 6,60,000/-</t>
  </si>
  <si>
    <t>1) Wages for Zonal Staffs - Rs. 9,12,820/-
2) Travel Expenses of Zonal Staffs - Rs. 1,98,000/-
3) Purchase of Vehicles &amp; POL - Rs. 11,58,000/-
4) Purchase of Equiptments - Rs. 1,00,000/-</t>
  </si>
  <si>
    <t>1) Contingency Support at State Level Rs. 12,00,000/-
2) Constingency Support at District Level @ Rs. 1,00,000 per district - Rs. 9,00,000/-</t>
  </si>
  <si>
    <t>1) For Consuction of Lot Quality Assurance Sampling Survey (LQAS) by 22 MTS twice a year @ Rs. 1000 per MTS per round - Rs. 44,000/-
2) Training cum workshop of IMA &amp; IAP at State Level - Rs 2,37,000/-
3) Training cum Workshop of IMA &amp; IAP at District Level @ Rs. 37,000 per District - Rs. 3,36,000/-
4) Consultation with Private Sector for recording and reporting @ Rs. 23,480 per block - Rs. 2,81,760/-</t>
  </si>
  <si>
    <t>During 2019, there is a local epidemic of Malaria in the State. Mass Survey and Complete Treatment (MSAT) was conducted in 4 high endemic district viz. Lunglei, Lawngtlai, Siaha and Mamit in order to prevent further flair up of Malaria Cases in the state. 
Seeing the situation, and in order to prevent re-occurrence of epidemic out break;  two rounds of MSAT is propose for FY 2020 – 2021 to be implemented in these four high endemic districts, amounting to Rs. 70.00/- lakhs.</t>
  </si>
  <si>
    <t>Salary of M&amp;E Consultant with 5 % increment</t>
  </si>
  <si>
    <t>Salary of SPh Consultant inclusive of 5% increment</t>
  </si>
  <si>
    <t>Salary of PSCM Consultant inclusive of 5% increment</t>
  </si>
  <si>
    <t>Salary of IEC/BCC Consultant inclusive of 5% increment</t>
  </si>
  <si>
    <t>Salary of Finance Consultant inclusives of 5%</t>
  </si>
  <si>
    <t>Salary of Statistic cum Account Asst. inclusive of 5 % increment</t>
  </si>
  <si>
    <t>Salary of 2 Secretarial Asst. cum DEO inclusive of 5% increment</t>
  </si>
  <si>
    <t>Salary of 8 consultant inclusive of 5% increment</t>
  </si>
  <si>
    <t>Salalry of 1 Consultant inclusive of 5% increment</t>
  </si>
  <si>
    <t>Salary of Fulltime District Account staff inclusive of 5% increment</t>
  </si>
  <si>
    <t>Salalry of Newly recruited MTSs from Aizawl East and Lunglei</t>
  </si>
  <si>
    <t>Salary of 9 MTS inclusive of 5% increment</t>
  </si>
  <si>
    <t>Salary of MTS inclusives of 5% increment</t>
  </si>
  <si>
    <t>Salary of 3 MTS inclusive of 5% increment</t>
  </si>
  <si>
    <t>Salalry of 2 MTS inclusive of 5% increment</t>
  </si>
  <si>
    <t>Salary of 1 MTS inclusicves of 5%^ increment</t>
  </si>
  <si>
    <t>Salary of  2 MTS inclusives of 5% increment</t>
  </si>
  <si>
    <t>TOTAL of DBS</t>
  </si>
  <si>
    <t>Total of GF</t>
  </si>
  <si>
    <t>Total of MFP</t>
  </si>
  <si>
    <t>Budget exclusive of MFP</t>
  </si>
  <si>
    <t>S.No</t>
  </si>
  <si>
    <t>Programme</t>
  </si>
  <si>
    <t>Total Proposal</t>
  </si>
  <si>
    <t>2.3.2.7</t>
  </si>
  <si>
    <t xml:space="preserve"> Special anti-malarial intervention for high risk group for tribal population for hard to reach area to control and prevent resurgence of malaria</t>
  </si>
  <si>
    <t>Special anti-malarial intervention for high risk group for tribal population for hard to reach area to control and prevent resurgence of malaria the foolowing activity is proposed - 
1) Source Reduction Drive in co-ordination with Local Leader/ NGOs - Rs. 1638000/- @ Rs. 3000 per vilages for pre-, during and Post-Transmission Seasons.
2) Hosue to House Campaing to be conducted by ASHA: Rs. 819000 @Rs 1500 per ASHA per Village  for pre-, during and Post-Transmission Seasons.</t>
  </si>
  <si>
    <t>1) ASHA Incentives for Blood Test @ Rs.15 per test - Rs. 10,84,920/-
2)ASHA Incentives for positive patient treatment @ Rs. 75 per patient - Rs. 2,94,000/-
3) ASHA Incentives for LLIN Distribution - Rs. 41,41,970/-</t>
  </si>
  <si>
    <t>114 no of spraymen propose for one round of Indoor Residual Spray (IRS); 2 round to be completed in a year. Sparaymen wages @Rs.380 per day as per minimum wages in the state.
1) For 1st Round of IRS Operation - Rs. 18.13/- Lakhs
2) For 2nd Round of IRS Operation - Rs. 18.13/- Lakhs</t>
  </si>
  <si>
    <t>1)Purchase of HC Pump Spare Part - Rs. 1,00,000/-
2) Dropping of DDT to District from State HQ - Rs. 4,40,000/-
3) Purchase of Personal Protection Gear, Measuring equiptment etc. - Rs. 5,40,000/-
4) Droping of DDT from District to periphery Level - Rs. 9,21,200/-</t>
  </si>
  <si>
    <t>3.2.5.1.3</t>
  </si>
  <si>
    <t>Operationa Cost for Impregnation of Bed-Nets for NE State</t>
  </si>
  <si>
    <t xml:space="preserve"> Deltamethrine 2.5%: Rs. 1990000/- is proposed for purchase of 2000 ltr. Of Deltamethrine 2.5% for impregnation of 100000 community own bednet @ Rs. 995/- per ltr. (20 ml per bednet)
Total amount proposed is Rs. 19,19,000/-</t>
  </si>
  <si>
    <t>3.2.5.1.6</t>
  </si>
  <si>
    <t>CHV for inaccessible are</t>
  </si>
  <si>
    <t>6 New CHV proposed for inaccessible area in the state, and there is no budget implication</t>
  </si>
  <si>
    <t>Requirement of 6595 tabs of Quinine Sulphate Tablets @Rs.5.25 per tab(State NHM approved rate) is also calculated from taking the average Pf case during Jan-Sept.2019 and considering all stock points and after deducting the balance available. As the state is a highly endemic state the current stock will not be sufficient enough to cover all the stock points and as to avoid stock out requirement is prepared. Total budget plan for procurement of Quinine Sulphate tabs amounts to Rs.34624/-.</t>
  </si>
  <si>
    <t>Requirement of 3522 amps @Rs.25.00 per amp (Last purchased rate) of Quinine Injection is prepared from the average case during Jan-Sept.2019 and considering all stock points and after deducting the available balance. Rs. 88,050/-</t>
  </si>
  <si>
    <t>Out of the total requirement i.e 163901 tests of RDT,  25% i.e 40975  tests is proposed. Fund amounting to Rs. 6,14,625/- (@Rs. 15 per  test )is proposed for procurement of 40975 tests of RDT.</t>
  </si>
  <si>
    <t>6.2.12.13</t>
  </si>
  <si>
    <t>Test kits (Nos.) to be supplied by GoI (kindly indicate numbers of ELISA based NS1 kit and Mac ELISA Kits required separately)</t>
  </si>
  <si>
    <t>There are 2 Sentinel Surveillance Hospital (SSH Aizawl and SSH Lunglei) and 10  kits of Dengue IgM (6 Kits for SSH, Aizawl and 4 Kits for SSH, Lunglei) and 6 kits of Chijungunya IgM ( 4 kitsfor SSH, Aizawl and 2 for SSH, Lunglei) is proposed @11150.00/-. with ato tal amount of 1.78/- Lakhs.</t>
  </si>
  <si>
    <t>For Purchase of Consumable:
As Mizoram state as a whole is Malaria endemic state, it is essential that  anti malarial drugs like 
1. ACT-AL (all age group) are available at all times in all health facilities. And 25% of the state requirement can be procured by the state from Flexi Fund, as such requirement is prepared and proposed as mentioned below:
(a). ACT-AL (6 months – 3 yrs): Out of the total requirement of  8163 courses 25% i.e 2041 courses is proposed. Fund amounting Rs.1,51,034/- @Rs.74 per course (State NHM approved rate) is proposed.
(b). ACT-AL (3-8 yrs): Out of the total requirement of 7323 courses 25% i.e 1831 courses is proposed.  Fund amounting to Rs.2,70,988/ @Rs.148 per course (State NHM approved rate) is proposed.
(c). ACT-AL (9-14 yrs): Out of the total requirement of 5400 courses 25% i.e 1350 courses is proposed.  Fund amounting to Rs.2,99,700 @Rs.222/- per course (State NHM approved rate)is  proposed 
(d). ACT-AL  +14 yrs): Out of the total requirement of 5918 courses 25% i.e 1480 courses is proposed.  Fund amounting to Rs.4,38,080/-@Rs.296/- per course (State NHM approved rate) is proposed 
Total fund proposed for  purchase of ACT-AL (all age group) is Rs.11,59,802/-
2. Slide is propose for purchase of 5918 boxes @ 116/- total amount is Rs 6,86,488/-
3. Blood Lancet is propose for purchase of 300000 @0.85 total amounts to Rs2,55,000/-
4. Spirit 75ml is propose for purchase of 3000bot.@ Rs 45/- total amounts to Rs1,35,000/-
Total fund proposed under 6.2.12.17 amounts to  Rs.22.36/- lakhs</t>
  </si>
  <si>
    <t>1) For IRS Prespray Meeting - rs. 1,99,000/-
2) For DMO, M&amp;E and SPH Consultant Training - Rs. 5,28,000/-
3) For Health Worker Training - Rs. 14,77,350/-
4) Medical Officer Training - Rs. 1,90,000/-
5) Training of Lab. Technicians - Rs. 5,42,500
6) Contingency for the abovementione Training - rs. 18,17,150/-</t>
  </si>
  <si>
    <t>1) Radio Talk / Jingle 10 Nos @ Rs. 2750 - Rs. 27,500/-
2) Source Reduction Drive 216 Nos @ Rs. 1500 - Rs. 3,24,000
3) Awareness Campaign to Schools/NGOs/CBO 216 Nos @ Rs 1500 - Rs. 3,24,000/-
4) Anti- Malaria Month 94 Nos @ Rs. 4000 - Rs. 3,76,000/-
5) World Malaria Day 95 Nos @ Rs. 5000 - Rs.4,75,000/-
6)Monthly Anti- Malarial Day 996 Nos @ Rs. 1000 - Rs. 9,96,000/-
7) Sensitization/ Advocacy Meeting 9 Nos @ Rs. 5000 - Rs. 45,000/-</t>
  </si>
  <si>
    <t>1) National Dengue Day 97 Nos @ Rs. 3284 - Rs. 3,12,000/-
2) Anti Dengue Month 96 Nos @Rs. 2000 - Rs. 1,88,000/-</t>
  </si>
  <si>
    <t>12.11.3</t>
  </si>
  <si>
    <t>Printing  of Recording and Reporting of  Forms</t>
  </si>
  <si>
    <t xml:space="preserve">Printing of Reporting and recording formats as shown below: 1. M ASHA:Rs. 5,00,000, 2. M1:8,00,000, 3.M2: Rs. 3,00,000, 4. M3: Rs. 50,000, 5.M4F-A: Rs. 5,00,000, 6. M4F-B: Rs. 1,00,000, 7. M4 F-C: Rs. 5,00,000, 8. M4F-D: Rs.5,00,000, 9. M4F-E: Rs. 1,00,000, 10. M4F-Common: Rs. 5,00,000, 11. AM Drugs stock register: Rs. 1,50,000   </t>
  </si>
  <si>
    <t>14.2.9</t>
  </si>
  <si>
    <t>Supply chain management cost under GFATM</t>
  </si>
  <si>
    <t xml:space="preserve">Rs. 48.58 lakhs was proposed in PIP 2019-2020 and only Rs. 14 lakhs was approved in ROP 2019-2020. Additional requirement of Rs. 34.58 lakhs is proposed for transportation of LLIN from state to Districts/blocks/SCs and villages; Warehousing at State &amp; District and handling &amp; processing of LLIN.     </t>
  </si>
  <si>
    <t>15.3.1</t>
  </si>
  <si>
    <t>PPP/NGO intersectoral Convergence</t>
  </si>
  <si>
    <t>Deleted as per NVBDCP recommendation</t>
  </si>
  <si>
    <t>16.1.2.1.19</t>
  </si>
  <si>
    <t>16.1.2.2.5</t>
  </si>
  <si>
    <t>1) Monitoring and Supervision from State Level - Rs.3,66,000/-
2) Monitoring and Supervision from District Level - Rs. 19,54,800/-
3) Hiring of vehicles for Supervision and Monitoring coming from National Levels and Regional Level Deligates - Rs. 2,50,000/-
4) Freight and Insuarance of ACT-AL &amp; RDT - Rs. 1,00,000/-</t>
  </si>
  <si>
    <t>FMR Code sawn a nia a hmain 16.1.2.2.6 hman a ni</t>
  </si>
  <si>
    <t>1) POL for State @ Rs. 38,500 per month - Rs. 4,62,000/-
2) POL for Districts 9 Districts @ Rs 18,000 per month - Rs. 19,44,000/-
3) POL for MTS 22 MTS @ Rs. 2,500 per month - Rs. 6,60,000/-</t>
  </si>
  <si>
    <t>1) Wages for Zonal Staffs - Rs. 8,16,820/-
2) Travel Expenses of Zonal Staffs - Rs. 1,98,000/-
3) Hiring of vehicle- Rs. 3,60,000/-
4) Purchase of Equiptments - Rs. 1,00,000/-</t>
  </si>
  <si>
    <t>16.1.4.1.15</t>
  </si>
  <si>
    <t>Programme Administrative Cost</t>
  </si>
  <si>
    <t>For Programme Administration at State Level
1)  Purchase od Stationary - Rs. 6,00,000/-
2) Telephone Bill - Rs. 1,00,000/-
3) Office Rent - Rs. 1,20,000/-
4) Parking Fees - Rs. 40,000/-
5) Distribution of Materials and equiptment to District - Rs 1,50,000/-
6) Miscellaneous / other incidental - Rs. 1,90,000/-</t>
  </si>
  <si>
    <t>16.1.4.2.3</t>
  </si>
  <si>
    <t>1) Constingency Support at District Level @ Rs. 1,00,000 per district - Rs. 9,00,000/-</t>
  </si>
  <si>
    <t>16.1.4.1.6 a mi delete vek tur</t>
  </si>
  <si>
    <t>16.1.5.2.7</t>
  </si>
  <si>
    <t>Vehicle Maintenance</t>
  </si>
  <si>
    <t>NIL</t>
  </si>
  <si>
    <t xml:space="preserve">NVBDCP, Mizoram received 10 motor vehicles for monitoring from Government of India. Annual maintenance is a must for each vehicle for better and more reliable functioning of the vehicle. Rs. 30,000/- per vehicle is proposed for annual maintenance cost. </t>
  </si>
  <si>
    <t>Epidemic Preparedness and respons Malaria</t>
  </si>
  <si>
    <t>Activity</t>
  </si>
  <si>
    <t>Name of Activities</t>
  </si>
  <si>
    <t>Rate per activity</t>
  </si>
  <si>
    <t>No.of activity</t>
  </si>
  <si>
    <t>Amt</t>
  </si>
  <si>
    <t>AMT</t>
  </si>
  <si>
    <t>Radio Talk/Jingle</t>
  </si>
  <si>
    <t>TV Spot Ads</t>
  </si>
  <si>
    <t>Print Ads</t>
  </si>
  <si>
    <t>Source reduction drive</t>
  </si>
  <si>
    <t>Awareness Campaign to School/ NGO/ CBO</t>
  </si>
  <si>
    <t>House to House campaign</t>
  </si>
  <si>
    <t>Wall painting</t>
  </si>
  <si>
    <t>Anti malaria month</t>
  </si>
  <si>
    <t>World Malaria Day</t>
  </si>
  <si>
    <t>Monthly Anti-Malaria Day</t>
  </si>
  <si>
    <t>Sponsorship of events</t>
  </si>
  <si>
    <t>Sensitization/Advocacy meetings</t>
  </si>
  <si>
    <t>National Dengue day</t>
  </si>
  <si>
    <t>Anti dengue month</t>
  </si>
  <si>
    <t>Radio Talk/ Discussion</t>
  </si>
  <si>
    <t>TV Talk/ Discussion</t>
  </si>
  <si>
    <t>Display Ads</t>
  </si>
  <si>
    <t>Banner Ads</t>
  </si>
  <si>
    <t>Awareness Campaign</t>
  </si>
  <si>
    <t>Source Reduction Drive</t>
  </si>
  <si>
    <t>DMO</t>
  </si>
  <si>
    <t>Consultant</t>
  </si>
  <si>
    <t>MTS</t>
  </si>
  <si>
    <t>Vehicle maintenance</t>
  </si>
  <si>
    <t>G. Total</t>
  </si>
  <si>
    <t>POL Dist</t>
  </si>
  <si>
    <t>POL for MTS</t>
  </si>
  <si>
    <t>IMA</t>
  </si>
  <si>
    <t>PVT Sector</t>
  </si>
  <si>
    <t>Blood Collection</t>
  </si>
  <si>
    <t>District</t>
  </si>
  <si>
    <t xml:space="preserve">Jan </t>
  </si>
  <si>
    <t>Feb</t>
  </si>
  <si>
    <t>Mar</t>
  </si>
  <si>
    <t>Apr</t>
  </si>
  <si>
    <t>May</t>
  </si>
  <si>
    <t>Jun</t>
  </si>
  <si>
    <t>Jul</t>
  </si>
  <si>
    <t>Aug</t>
  </si>
  <si>
    <t>Sep</t>
  </si>
  <si>
    <t>Oct</t>
  </si>
  <si>
    <t>TOT</t>
  </si>
  <si>
    <t>%</t>
  </si>
  <si>
    <t>Positive</t>
  </si>
  <si>
    <t>ToT</t>
  </si>
  <si>
    <t>Tot BSC pos Amt</t>
  </si>
</sst>
</file>

<file path=xl/styles.xml><?xml version="1.0" encoding="utf-8"?>
<styleSheet xmlns="http://schemas.openxmlformats.org/spreadsheetml/2006/main">
  <numFmts count="4">
    <numFmt numFmtId="176" formatCode="_ * #,##0_ ;_ * \-#,##0_ ;_ * &quot;-&quot;_ ;_ @_ "/>
    <numFmt numFmtId="44" formatCode="_(&quot;$&quot;* #,##0.00_);_(&quot;$&quot;* \(#,##0.00\);_(&quot;$&quot;* &quot;-&quot;??_);_(@_)"/>
    <numFmt numFmtId="42" formatCode="_(&quot;$&quot;* #,##0_);_(&quot;$&quot;* \(#,##0\);_(&quot;$&quot;* &quot;-&quot;_);_(@_)"/>
    <numFmt numFmtId="177" formatCode="_ * #,##0.00_ ;_ * \-#,##0.00_ ;_ * &quot;-&quot;??_ ;_ @_ "/>
  </numFmts>
  <fonts count="31">
    <font>
      <sz val="11"/>
      <color theme="1"/>
      <name val="Calibri"/>
      <charset val="134"/>
      <scheme val="minor"/>
    </font>
    <font>
      <sz val="12"/>
      <name val="Times New Roman"/>
      <charset val="134"/>
    </font>
    <font>
      <sz val="12"/>
      <color rgb="FFFF0000"/>
      <name val="Times New Roman"/>
      <charset val="134"/>
    </font>
    <font>
      <sz val="11"/>
      <color rgb="FFFF0000"/>
      <name val="Calibri"/>
      <charset val="134"/>
      <scheme val="minor"/>
    </font>
    <font>
      <sz val="11"/>
      <color theme="1"/>
      <name val="Times New Roman"/>
      <charset val="134"/>
    </font>
    <font>
      <b/>
      <sz val="11"/>
      <color theme="1"/>
      <name val="Times New Roman"/>
      <charset val="134"/>
    </font>
    <font>
      <sz val="12.5"/>
      <color theme="1"/>
      <name val="Times New Roman"/>
      <charset val="134"/>
    </font>
    <font>
      <b/>
      <sz val="11"/>
      <color theme="1"/>
      <name val="Calibri"/>
      <charset val="134"/>
      <scheme val="minor"/>
    </font>
    <font>
      <sz val="13"/>
      <color theme="1"/>
      <name val="Times New Roman"/>
      <charset val="134"/>
    </font>
    <font>
      <b/>
      <sz val="12"/>
      <name val="Calibri"/>
      <charset val="134"/>
      <scheme val="minor"/>
    </font>
    <font>
      <b/>
      <sz val="11"/>
      <color rgb="FF000000"/>
      <name val="Calibri"/>
      <charset val="134"/>
      <scheme val="minor"/>
    </font>
    <font>
      <sz val="11"/>
      <color rgb="FF000000"/>
      <name val="Calibri"/>
      <charset val="134"/>
      <scheme val="minor"/>
    </font>
    <font>
      <sz val="11"/>
      <color theme="0"/>
      <name val="Calibri"/>
      <charset val="0"/>
      <scheme val="minor"/>
    </font>
    <font>
      <sz val="11"/>
      <color rgb="FF9C0006"/>
      <name val="Calibri"/>
      <charset val="0"/>
      <scheme val="minor"/>
    </font>
    <font>
      <b/>
      <sz val="11"/>
      <color rgb="FFFA7D00"/>
      <name val="Calibri"/>
      <charset val="0"/>
      <scheme val="minor"/>
    </font>
    <font>
      <sz val="11"/>
      <color rgb="FFFF0000"/>
      <name val="Calibri"/>
      <charset val="0"/>
      <scheme val="minor"/>
    </font>
    <font>
      <b/>
      <sz val="13"/>
      <color theme="3"/>
      <name val="Calibri"/>
      <charset val="134"/>
      <scheme val="minor"/>
    </font>
    <font>
      <sz val="11"/>
      <color theme="1"/>
      <name val="Calibri"/>
      <charset val="0"/>
      <scheme val="minor"/>
    </font>
    <font>
      <b/>
      <sz val="11"/>
      <color rgb="FF3F3F3F"/>
      <name val="Calibri"/>
      <charset val="0"/>
      <scheme val="minor"/>
    </font>
    <font>
      <b/>
      <sz val="11"/>
      <color rgb="FFFFFFFF"/>
      <name val="Calibri"/>
      <charset val="0"/>
      <scheme val="minor"/>
    </font>
    <font>
      <sz val="11"/>
      <color rgb="FF9C6500"/>
      <name val="Calibri"/>
      <charset val="0"/>
      <scheme val="minor"/>
    </font>
    <font>
      <b/>
      <sz val="11"/>
      <color theme="3"/>
      <name val="Calibri"/>
      <charset val="134"/>
      <scheme val="minor"/>
    </font>
    <font>
      <i/>
      <sz val="11"/>
      <color rgb="FF7F7F7F"/>
      <name val="Calibri"/>
      <charset val="0"/>
      <scheme val="minor"/>
    </font>
    <font>
      <u/>
      <sz val="11"/>
      <color rgb="FF800080"/>
      <name val="Calibri"/>
      <charset val="0"/>
      <scheme val="minor"/>
    </font>
    <font>
      <b/>
      <sz val="11"/>
      <color theme="1"/>
      <name val="Calibri"/>
      <charset val="0"/>
      <scheme val="minor"/>
    </font>
    <font>
      <b/>
      <sz val="18"/>
      <color theme="3"/>
      <name val="Calibri"/>
      <charset val="134"/>
      <scheme val="minor"/>
    </font>
    <font>
      <u/>
      <sz val="11"/>
      <color rgb="FF0000FF"/>
      <name val="Calibri"/>
      <charset val="0"/>
      <scheme val="minor"/>
    </font>
    <font>
      <b/>
      <sz val="15"/>
      <color theme="3"/>
      <name val="Calibri"/>
      <charset val="134"/>
      <scheme val="minor"/>
    </font>
    <font>
      <sz val="11"/>
      <color rgb="FF006100"/>
      <name val="Calibri"/>
      <charset val="0"/>
      <scheme val="minor"/>
    </font>
    <font>
      <sz val="11"/>
      <color rgb="FFFA7D00"/>
      <name val="Calibri"/>
      <charset val="0"/>
      <scheme val="minor"/>
    </font>
    <font>
      <sz val="11"/>
      <color rgb="FF3F3F76"/>
      <name val="Calibri"/>
      <charset val="0"/>
      <scheme val="minor"/>
    </font>
  </fonts>
  <fills count="42">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8" tint="0.399884029663991"/>
        <bgColor indexed="64"/>
      </patternFill>
    </fill>
    <fill>
      <patternFill patternType="solid">
        <fgColor rgb="FFFFC000"/>
        <bgColor indexed="64"/>
      </patternFill>
    </fill>
    <fill>
      <patternFill patternType="solid">
        <fgColor rgb="FF92D050"/>
        <bgColor indexed="64"/>
      </patternFill>
    </fill>
    <fill>
      <patternFill patternType="solid">
        <fgColor rgb="FF00B0F0"/>
        <bgColor indexed="64"/>
      </patternFill>
    </fill>
    <fill>
      <patternFill patternType="solid">
        <fgColor rgb="FFFFFF00"/>
        <bgColor indexed="64"/>
      </patternFill>
    </fill>
    <fill>
      <patternFill patternType="solid">
        <fgColor rgb="FFFF0000"/>
        <bgColor indexed="64"/>
      </patternFill>
    </fill>
    <fill>
      <patternFill patternType="solid">
        <fgColor rgb="FF93CDDD"/>
        <bgColor indexed="64"/>
      </patternFill>
    </fill>
    <fill>
      <patternFill patternType="solid">
        <fgColor theme="5"/>
        <bgColor indexed="64"/>
      </patternFill>
    </fill>
    <fill>
      <patternFill patternType="solid">
        <fgColor rgb="FFFFC7CE"/>
        <bgColor indexed="64"/>
      </patternFill>
    </fill>
    <fill>
      <patternFill patternType="solid">
        <fgColor rgb="FFF2F2F2"/>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7"/>
        <bgColor indexed="64"/>
      </patternFill>
    </fill>
    <fill>
      <patternFill patternType="solid">
        <fgColor rgb="FFFFEB9C"/>
        <bgColor indexed="64"/>
      </patternFill>
    </fill>
    <fill>
      <patternFill patternType="solid">
        <fgColor theme="8"/>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FFCC"/>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5" tint="0.399975585192419"/>
        <bgColor indexed="64"/>
      </patternFill>
    </fill>
    <fill>
      <patternFill patternType="solid">
        <fgColor theme="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9"/>
        <bgColor indexed="64"/>
      </patternFill>
    </fill>
    <fill>
      <patternFill patternType="solid">
        <fgColor theme="6"/>
        <bgColor indexed="64"/>
      </patternFill>
    </fill>
    <fill>
      <patternFill patternType="solid">
        <fgColor rgb="FFFFCC9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right style="medium">
        <color auto="1"/>
      </right>
      <top/>
      <bottom/>
      <diagonal/>
    </border>
    <border>
      <left/>
      <right style="medium">
        <color auto="1"/>
      </right>
      <top style="medium">
        <color auto="1"/>
      </top>
      <bottom style="medium">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49">
    <xf numFmtId="0" fontId="0" fillId="0" borderId="0"/>
    <xf numFmtId="0" fontId="17" fillId="30" borderId="0" applyNumberFormat="0" applyBorder="0" applyAlignment="0" applyProtection="0">
      <alignment vertical="center"/>
    </xf>
    <xf numFmtId="177" fontId="0" fillId="0" borderId="0" applyFont="0" applyFill="0" applyBorder="0" applyAlignment="0" applyProtection="0">
      <alignment vertical="center"/>
    </xf>
    <xf numFmtId="176"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9" fillId="17" borderId="19" applyNumberFormat="0" applyAlignment="0" applyProtection="0">
      <alignment vertical="center"/>
    </xf>
    <xf numFmtId="0" fontId="16" fillId="0" borderId="17" applyNumberFormat="0" applyFill="0" applyAlignment="0" applyProtection="0">
      <alignment vertical="center"/>
    </xf>
    <xf numFmtId="0" fontId="0" fillId="29" borderId="22" applyNumberFormat="0" applyFont="0" applyAlignment="0" applyProtection="0">
      <alignment vertical="center"/>
    </xf>
    <xf numFmtId="0" fontId="26" fillId="0" borderId="0" applyNumberFormat="0" applyFill="0" applyBorder="0" applyAlignment="0" applyProtection="0">
      <alignment vertical="center"/>
    </xf>
    <xf numFmtId="0" fontId="12" fillId="34" borderId="0" applyNumberFormat="0" applyBorder="0" applyAlignment="0" applyProtection="0">
      <alignment vertical="center"/>
    </xf>
    <xf numFmtId="0" fontId="23" fillId="0" borderId="0" applyNumberFormat="0" applyFill="0" applyBorder="0" applyAlignment="0" applyProtection="0">
      <alignment vertical="center"/>
    </xf>
    <xf numFmtId="0" fontId="17" fillId="16" borderId="0" applyNumberFormat="0" applyBorder="0" applyAlignment="0" applyProtection="0">
      <alignment vertical="center"/>
    </xf>
    <xf numFmtId="0" fontId="15" fillId="0" borderId="0" applyNumberFormat="0" applyFill="0" applyBorder="0" applyAlignment="0" applyProtection="0">
      <alignment vertical="center"/>
    </xf>
    <xf numFmtId="0" fontId="17" fillId="38" borderId="0" applyNumberFormat="0" applyBorder="0" applyAlignment="0" applyProtection="0">
      <alignment vertical="center"/>
    </xf>
    <xf numFmtId="0" fontId="25"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7" fillId="0" borderId="17" applyNumberFormat="0" applyFill="0" applyAlignment="0" applyProtection="0">
      <alignment vertical="center"/>
    </xf>
    <xf numFmtId="0" fontId="21" fillId="0" borderId="21" applyNumberFormat="0" applyFill="0" applyAlignment="0" applyProtection="0">
      <alignment vertical="center"/>
    </xf>
    <xf numFmtId="0" fontId="21" fillId="0" borderId="0" applyNumberFormat="0" applyFill="0" applyBorder="0" applyAlignment="0" applyProtection="0">
      <alignment vertical="center"/>
    </xf>
    <xf numFmtId="0" fontId="30" fillId="41" borderId="16" applyNumberFormat="0" applyAlignment="0" applyProtection="0">
      <alignment vertical="center"/>
    </xf>
    <xf numFmtId="0" fontId="12" fillId="37" borderId="0" applyNumberFormat="0" applyBorder="0" applyAlignment="0" applyProtection="0">
      <alignment vertical="center"/>
    </xf>
    <xf numFmtId="0" fontId="28" fillId="36" borderId="0" applyNumberFormat="0" applyBorder="0" applyAlignment="0" applyProtection="0">
      <alignment vertical="center"/>
    </xf>
    <xf numFmtId="0" fontId="18" fillId="13" borderId="18" applyNumberFormat="0" applyAlignment="0" applyProtection="0">
      <alignment vertical="center"/>
    </xf>
    <xf numFmtId="0" fontId="17" fillId="25" borderId="0" applyNumberFormat="0" applyBorder="0" applyAlignment="0" applyProtection="0">
      <alignment vertical="center"/>
    </xf>
    <xf numFmtId="0" fontId="14" fillId="13" borderId="16" applyNumberFormat="0" applyAlignment="0" applyProtection="0">
      <alignment vertical="center"/>
    </xf>
    <xf numFmtId="0" fontId="29" fillId="0" borderId="23" applyNumberFormat="0" applyFill="0" applyAlignment="0" applyProtection="0">
      <alignment vertical="center"/>
    </xf>
    <xf numFmtId="0" fontId="24" fillId="0" borderId="20" applyNumberFormat="0" applyFill="0" applyAlignment="0" applyProtection="0">
      <alignment vertical="center"/>
    </xf>
    <xf numFmtId="0" fontId="13" fillId="12" borderId="0" applyNumberFormat="0" applyBorder="0" applyAlignment="0" applyProtection="0">
      <alignment vertical="center"/>
    </xf>
    <xf numFmtId="0" fontId="20" fillId="21" borderId="0" applyNumberFormat="0" applyBorder="0" applyAlignment="0" applyProtection="0">
      <alignment vertical="center"/>
    </xf>
    <xf numFmtId="0" fontId="12" fillId="33" borderId="0" applyNumberFormat="0" applyBorder="0" applyAlignment="0" applyProtection="0">
      <alignment vertical="center"/>
    </xf>
    <xf numFmtId="0" fontId="17" fillId="28" borderId="0" applyNumberFormat="0" applyBorder="0" applyAlignment="0" applyProtection="0">
      <alignment vertical="center"/>
    </xf>
    <xf numFmtId="0" fontId="12" fillId="27" borderId="0" applyNumberFormat="0" applyBorder="0" applyAlignment="0" applyProtection="0">
      <alignment vertical="center"/>
    </xf>
    <xf numFmtId="0" fontId="12" fillId="11" borderId="0" applyNumberFormat="0" applyBorder="0" applyAlignment="0" applyProtection="0">
      <alignment vertical="center"/>
    </xf>
    <xf numFmtId="0" fontId="17" fillId="24" borderId="0" applyNumberFormat="0" applyBorder="0" applyAlignment="0" applyProtection="0">
      <alignment vertical="center"/>
    </xf>
    <xf numFmtId="0" fontId="17" fillId="26" borderId="0" applyNumberFormat="0" applyBorder="0" applyAlignment="0" applyProtection="0">
      <alignment vertical="center"/>
    </xf>
    <xf numFmtId="0" fontId="12" fillId="32" borderId="0" applyNumberFormat="0" applyBorder="0" applyAlignment="0" applyProtection="0">
      <alignment vertical="center"/>
    </xf>
    <xf numFmtId="0" fontId="12" fillId="40" borderId="0" applyNumberFormat="0" applyBorder="0" applyAlignment="0" applyProtection="0">
      <alignment vertical="center"/>
    </xf>
    <xf numFmtId="0" fontId="17" fillId="35" borderId="0" applyNumberFormat="0" applyBorder="0" applyAlignment="0" applyProtection="0">
      <alignment vertical="center"/>
    </xf>
    <xf numFmtId="0" fontId="12" fillId="20" borderId="0" applyNumberFormat="0" applyBorder="0" applyAlignment="0" applyProtection="0">
      <alignment vertical="center"/>
    </xf>
    <xf numFmtId="0" fontId="17" fillId="15" borderId="0" applyNumberFormat="0" applyBorder="0" applyAlignment="0" applyProtection="0">
      <alignment vertical="center"/>
    </xf>
    <xf numFmtId="0" fontId="17" fillId="23" borderId="0" applyNumberFormat="0" applyBorder="0" applyAlignment="0" applyProtection="0">
      <alignment vertical="center"/>
    </xf>
    <xf numFmtId="0" fontId="12" fillId="22" borderId="0" applyNumberFormat="0" applyBorder="0" applyAlignment="0" applyProtection="0">
      <alignment vertical="center"/>
    </xf>
    <xf numFmtId="0" fontId="17" fillId="14" borderId="0" applyNumberFormat="0" applyBorder="0" applyAlignment="0" applyProtection="0">
      <alignment vertical="center"/>
    </xf>
    <xf numFmtId="0" fontId="12" fillId="19" borderId="0" applyNumberFormat="0" applyBorder="0" applyAlignment="0" applyProtection="0">
      <alignment vertical="center"/>
    </xf>
    <xf numFmtId="0" fontId="12" fillId="39" borderId="0" applyNumberFormat="0" applyBorder="0" applyAlignment="0" applyProtection="0">
      <alignment vertical="center"/>
    </xf>
    <xf numFmtId="0" fontId="17" fillId="18" borderId="0" applyNumberFormat="0" applyBorder="0" applyAlignment="0" applyProtection="0">
      <alignment vertical="center"/>
    </xf>
    <xf numFmtId="0" fontId="12" fillId="31" borderId="0" applyNumberFormat="0" applyBorder="0" applyAlignment="0" applyProtection="0">
      <alignment vertical="center"/>
    </xf>
  </cellStyleXfs>
  <cellXfs count="115">
    <xf numFmtId="0" fontId="0" fillId="0" borderId="0" xfId="0"/>
    <xf numFmtId="0" fontId="0" fillId="0" borderId="0" xfId="0" applyAlignment="1">
      <alignment wrapText="1"/>
    </xf>
    <xf numFmtId="0" fontId="0" fillId="0" borderId="0" xfId="0" applyBorder="1" applyAlignment="1">
      <alignment horizontal="center" wrapText="1"/>
    </xf>
    <xf numFmtId="0" fontId="0" fillId="0" borderId="1" xfId="0" applyBorder="1" applyAlignment="1">
      <alignment wrapText="1"/>
    </xf>
    <xf numFmtId="0" fontId="0" fillId="0" borderId="1" xfId="0" applyBorder="1"/>
    <xf numFmtId="0" fontId="1" fillId="0" borderId="1" xfId="0" applyFont="1" applyFill="1" applyBorder="1" applyAlignment="1">
      <alignment horizontal="center" vertical="center" wrapText="1"/>
    </xf>
    <xf numFmtId="0" fontId="2" fillId="0" borderId="1" xfId="0" applyFont="1" applyBorder="1" applyAlignment="1">
      <alignment horizontal="center" wrapText="1"/>
    </xf>
    <xf numFmtId="0" fontId="3" fillId="0" borderId="1" xfId="0" applyFont="1" applyBorder="1" applyAlignment="1">
      <alignment horizontal="center" wrapText="1"/>
    </xf>
    <xf numFmtId="0" fontId="1" fillId="2" borderId="1" xfId="0" applyFont="1" applyFill="1" applyBorder="1" applyAlignment="1">
      <alignment horizontal="center" vertical="center" wrapText="1"/>
    </xf>
    <xf numFmtId="0" fontId="2" fillId="0" borderId="1" xfId="0" applyFont="1" applyBorder="1" applyAlignment="1">
      <alignment horizontal="center"/>
    </xf>
    <xf numFmtId="0" fontId="2" fillId="3" borderId="1" xfId="0" applyFont="1" applyFill="1" applyBorder="1" applyAlignment="1">
      <alignment horizontal="center"/>
    </xf>
    <xf numFmtId="0" fontId="0" fillId="0" borderId="1" xfId="0" applyFill="1" applyBorder="1"/>
    <xf numFmtId="1" fontId="0" fillId="0" borderId="1" xfId="0" applyNumberFormat="1" applyBorder="1"/>
    <xf numFmtId="2" fontId="0" fillId="0" borderId="1" xfId="0" applyNumberFormat="1" applyBorder="1"/>
    <xf numFmtId="1" fontId="0" fillId="0" borderId="0" xfId="0" applyNumberFormat="1"/>
    <xf numFmtId="0" fontId="4" fillId="0" borderId="0" xfId="0" applyFont="1"/>
    <xf numFmtId="0" fontId="5" fillId="0" borderId="2" xfId="0" applyFont="1" applyBorder="1" applyAlignment="1">
      <alignment horizontal="center" wrapText="1"/>
    </xf>
    <xf numFmtId="0" fontId="5" fillId="0" borderId="2" xfId="0" applyFont="1" applyBorder="1" applyAlignment="1">
      <alignment wrapText="1"/>
    </xf>
    <xf numFmtId="2" fontId="5" fillId="4" borderId="2" xfId="0" applyNumberFormat="1" applyFont="1" applyFill="1" applyBorder="1" applyAlignment="1">
      <alignment horizontal="center" vertical="center" wrapText="1"/>
    </xf>
    <xf numFmtId="0" fontId="6" fillId="0" borderId="1" xfId="0" applyFont="1" applyBorder="1" applyAlignment="1">
      <alignment vertical="top" wrapText="1"/>
    </xf>
    <xf numFmtId="0" fontId="6" fillId="0" borderId="1" xfId="0" applyFont="1" applyBorder="1" applyAlignment="1">
      <alignment horizontal="center" vertical="top" wrapText="1"/>
    </xf>
    <xf numFmtId="0" fontId="6" fillId="0" borderId="1" xfId="0" applyFont="1" applyBorder="1" applyAlignment="1">
      <alignment horizontal="right" vertical="top" wrapText="1"/>
    </xf>
    <xf numFmtId="0" fontId="4" fillId="0" borderId="1" xfId="0" applyFont="1" applyBorder="1" applyAlignment="1">
      <alignment horizontal="center" vertical="top"/>
    </xf>
    <xf numFmtId="0" fontId="4" fillId="0" borderId="1" xfId="0" applyFont="1" applyBorder="1" applyAlignment="1">
      <alignment vertical="top" wrapText="1"/>
    </xf>
    <xf numFmtId="0" fontId="4" fillId="0" borderId="1" xfId="0" applyFont="1" applyBorder="1" applyAlignment="1">
      <alignment horizontal="center" vertical="top" wrapText="1"/>
    </xf>
    <xf numFmtId="0" fontId="4" fillId="0" borderId="1" xfId="0" applyFont="1" applyBorder="1"/>
    <xf numFmtId="0" fontId="5" fillId="0" borderId="1" xfId="0" applyFont="1" applyBorder="1" applyAlignment="1">
      <alignment horizontal="center" wrapText="1"/>
    </xf>
    <xf numFmtId="0" fontId="5" fillId="0" borderId="1" xfId="0" applyFont="1" applyBorder="1" applyAlignment="1">
      <alignment wrapText="1"/>
    </xf>
    <xf numFmtId="2" fontId="5" fillId="4" borderId="1" xfId="0" applyNumberFormat="1" applyFont="1" applyFill="1" applyBorder="1" applyAlignment="1">
      <alignment horizontal="center" vertical="center" wrapText="1"/>
    </xf>
    <xf numFmtId="0" fontId="6" fillId="0" borderId="3" xfId="0" applyFont="1" applyBorder="1" applyAlignment="1">
      <alignment vertical="top" wrapText="1"/>
    </xf>
    <xf numFmtId="0" fontId="6" fillId="0" borderId="4" xfId="0" applyFont="1" applyBorder="1" applyAlignment="1">
      <alignment horizontal="center" vertical="top" wrapText="1"/>
    </xf>
    <xf numFmtId="0" fontId="6" fillId="0" borderId="4" xfId="0" applyFont="1" applyBorder="1" applyAlignment="1">
      <alignment horizontal="right" vertical="top" wrapText="1"/>
    </xf>
    <xf numFmtId="0" fontId="6" fillId="0" borderId="5" xfId="0" applyFont="1" applyBorder="1" applyAlignment="1">
      <alignment vertical="top" wrapText="1"/>
    </xf>
    <xf numFmtId="0" fontId="6" fillId="0" borderId="6" xfId="0" applyFont="1" applyBorder="1" applyAlignment="1">
      <alignment horizontal="center" vertical="top" wrapText="1"/>
    </xf>
    <xf numFmtId="0" fontId="6" fillId="0" borderId="6" xfId="0" applyFont="1" applyBorder="1" applyAlignment="1">
      <alignment horizontal="right" vertical="top" wrapText="1"/>
    </xf>
    <xf numFmtId="0" fontId="3" fillId="0" borderId="0" xfId="0" applyFont="1"/>
    <xf numFmtId="0" fontId="0" fillId="0" borderId="0" xfId="0" applyAlignment="1">
      <alignment horizontal="left" vertical="top"/>
    </xf>
    <xf numFmtId="0" fontId="0" fillId="5" borderId="0" xfId="0" applyFill="1"/>
    <xf numFmtId="0" fontId="0" fillId="6" borderId="0" xfId="0" applyFill="1"/>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0" fillId="0" borderId="1" xfId="0" applyBorder="1" applyAlignment="1">
      <alignment vertical="top"/>
    </xf>
    <xf numFmtId="0" fontId="0" fillId="0" borderId="1" xfId="0" applyBorder="1" applyAlignment="1">
      <alignment horizontal="left" vertical="top" wrapText="1"/>
    </xf>
    <xf numFmtId="2" fontId="0" fillId="0" borderId="1" xfId="0" applyNumberFormat="1" applyBorder="1" applyAlignment="1">
      <alignment horizontal="left" vertical="top" wrapText="1"/>
    </xf>
    <xf numFmtId="2" fontId="0" fillId="0" borderId="1" xfId="0" applyNumberFormat="1" applyBorder="1" applyAlignment="1">
      <alignment horizontal="center" vertical="top"/>
    </xf>
    <xf numFmtId="0" fontId="0" fillId="0" borderId="1" xfId="0" applyBorder="1" applyAlignment="1">
      <alignment horizontal="center" vertical="top"/>
    </xf>
    <xf numFmtId="2" fontId="0" fillId="0" borderId="1" xfId="0" applyNumberFormat="1" applyFont="1" applyBorder="1" applyAlignment="1">
      <alignment horizontal="left" vertical="top" wrapText="1"/>
    </xf>
    <xf numFmtId="0" fontId="3" fillId="0" borderId="1" xfId="0" applyFont="1" applyBorder="1" applyAlignment="1">
      <alignment vertical="top"/>
    </xf>
    <xf numFmtId="0" fontId="3" fillId="0" borderId="1" xfId="0" applyFont="1" applyBorder="1" applyAlignment="1">
      <alignment horizontal="left" vertical="top" wrapText="1"/>
    </xf>
    <xf numFmtId="2" fontId="3" fillId="0" borderId="1" xfId="0" applyNumberFormat="1" applyFont="1" applyBorder="1" applyAlignment="1">
      <alignment horizontal="left" vertical="top" wrapText="1"/>
    </xf>
    <xf numFmtId="2" fontId="3" fillId="0" borderId="1" xfId="0" applyNumberFormat="1" applyFont="1" applyBorder="1" applyAlignment="1">
      <alignment horizontal="center" vertical="top"/>
    </xf>
    <xf numFmtId="0" fontId="3" fillId="0" borderId="1" xfId="0" applyFont="1" applyBorder="1" applyAlignment="1">
      <alignment horizontal="center" vertical="top"/>
    </xf>
    <xf numFmtId="0" fontId="0" fillId="6" borderId="1" xfId="0" applyFill="1" applyBorder="1" applyAlignment="1">
      <alignment vertical="top"/>
    </xf>
    <xf numFmtId="0" fontId="0" fillId="6" borderId="1" xfId="0" applyFill="1" applyBorder="1" applyAlignment="1">
      <alignment horizontal="left" vertical="top" wrapText="1"/>
    </xf>
    <xf numFmtId="2" fontId="0" fillId="6" borderId="1" xfId="0" applyNumberFormat="1" applyFill="1" applyBorder="1" applyAlignment="1">
      <alignment horizontal="left" vertical="top" wrapText="1"/>
    </xf>
    <xf numFmtId="2" fontId="0" fillId="6" borderId="1" xfId="0" applyNumberFormat="1" applyFill="1" applyBorder="1" applyAlignment="1">
      <alignment horizontal="center" vertical="top"/>
    </xf>
    <xf numFmtId="0" fontId="0" fillId="6" borderId="1" xfId="0" applyFill="1" applyBorder="1" applyAlignment="1">
      <alignment horizontal="center" vertical="top"/>
    </xf>
    <xf numFmtId="0" fontId="0" fillId="5" borderId="1" xfId="0" applyFill="1" applyBorder="1" applyAlignment="1">
      <alignment vertical="top"/>
    </xf>
    <xf numFmtId="0" fontId="0" fillId="5" borderId="1" xfId="0" applyFill="1" applyBorder="1" applyAlignment="1">
      <alignment horizontal="left" vertical="top" wrapText="1"/>
    </xf>
    <xf numFmtId="2" fontId="0" fillId="5" borderId="1" xfId="0" applyNumberFormat="1" applyFill="1" applyBorder="1" applyAlignment="1">
      <alignment horizontal="left" vertical="top" wrapText="1"/>
    </xf>
    <xf numFmtId="2" fontId="0" fillId="5" borderId="1" xfId="0" applyNumberFormat="1" applyFill="1" applyBorder="1" applyAlignment="1">
      <alignment horizontal="center" vertical="top"/>
    </xf>
    <xf numFmtId="0" fontId="0" fillId="5" borderId="1" xfId="0" applyFill="1" applyBorder="1" applyAlignment="1">
      <alignment horizontal="center" vertical="top"/>
    </xf>
    <xf numFmtId="2" fontId="0" fillId="5" borderId="1" xfId="0" applyNumberFormat="1" applyFont="1" applyFill="1" applyBorder="1" applyAlignment="1">
      <alignment horizontal="left" vertical="top" wrapText="1"/>
    </xf>
    <xf numFmtId="0" fontId="0" fillId="5" borderId="1" xfId="0" applyFont="1" applyFill="1" applyBorder="1" applyAlignment="1">
      <alignment vertical="top"/>
    </xf>
    <xf numFmtId="0" fontId="0" fillId="5" borderId="1" xfId="0" applyFont="1" applyFill="1" applyBorder="1" applyAlignment="1">
      <alignment horizontal="left" vertical="top" wrapText="1"/>
    </xf>
    <xf numFmtId="2" fontId="0" fillId="0" borderId="1" xfId="0" applyNumberFormat="1" applyFill="1" applyBorder="1" applyAlignment="1">
      <alignment horizontal="center" vertical="top"/>
    </xf>
    <xf numFmtId="0" fontId="3" fillId="7" borderId="1" xfId="0" applyFont="1" applyFill="1" applyBorder="1" applyAlignment="1">
      <alignment vertical="top"/>
    </xf>
    <xf numFmtId="0" fontId="3" fillId="8" borderId="1" xfId="0" applyFont="1" applyFill="1" applyBorder="1" applyAlignment="1">
      <alignment horizontal="left" vertical="top" wrapText="1"/>
    </xf>
    <xf numFmtId="2" fontId="3" fillId="8" borderId="1" xfId="0" applyNumberFormat="1" applyFont="1" applyFill="1" applyBorder="1" applyAlignment="1">
      <alignment horizontal="left" vertical="top" wrapText="1"/>
    </xf>
    <xf numFmtId="2" fontId="3" fillId="8" borderId="1" xfId="0" applyNumberFormat="1" applyFont="1" applyFill="1" applyBorder="1" applyAlignment="1">
      <alignment horizontal="center" vertical="top"/>
    </xf>
    <xf numFmtId="0" fontId="3" fillId="8" borderId="1" xfId="0" applyFont="1" applyFill="1" applyBorder="1" applyAlignment="1">
      <alignment horizontal="center" vertical="top"/>
    </xf>
    <xf numFmtId="0" fontId="3" fillId="6" borderId="1" xfId="0" applyFont="1" applyFill="1" applyBorder="1" applyAlignment="1">
      <alignment vertical="top"/>
    </xf>
    <xf numFmtId="0" fontId="3" fillId="6" borderId="1" xfId="0" applyFont="1" applyFill="1" applyBorder="1" applyAlignment="1">
      <alignment horizontal="left" vertical="top" wrapText="1"/>
    </xf>
    <xf numFmtId="2" fontId="3" fillId="6" borderId="1" xfId="0" applyNumberFormat="1" applyFont="1" applyFill="1" applyBorder="1" applyAlignment="1">
      <alignment horizontal="left" vertical="top" wrapText="1"/>
    </xf>
    <xf numFmtId="2" fontId="3" fillId="6" borderId="1" xfId="0" applyNumberFormat="1" applyFont="1" applyFill="1" applyBorder="1" applyAlignment="1">
      <alignment horizontal="center" vertical="top"/>
    </xf>
    <xf numFmtId="0" fontId="3" fillId="6" borderId="1" xfId="0" applyFont="1" applyFill="1" applyBorder="1" applyAlignment="1">
      <alignment horizontal="center" vertical="top"/>
    </xf>
    <xf numFmtId="0" fontId="4" fillId="6" borderId="1" xfId="0" applyFont="1" applyFill="1" applyBorder="1" applyAlignment="1">
      <alignment horizontal="justify"/>
    </xf>
    <xf numFmtId="0" fontId="8" fillId="6" borderId="1" xfId="0" applyFont="1" applyFill="1" applyBorder="1" applyAlignment="1">
      <alignment vertical="top" wrapText="1"/>
    </xf>
    <xf numFmtId="2" fontId="3" fillId="0" borderId="1" xfId="0" applyNumberFormat="1" applyFont="1" applyFill="1" applyBorder="1" applyAlignment="1">
      <alignment horizontal="center" vertical="top"/>
    </xf>
    <xf numFmtId="0" fontId="2" fillId="0" borderId="0" xfId="0" applyFont="1" applyAlignment="1">
      <alignment horizontal="justify"/>
    </xf>
    <xf numFmtId="0" fontId="0" fillId="7" borderId="1" xfId="0" applyFill="1" applyBorder="1" applyAlignment="1">
      <alignment vertical="top"/>
    </xf>
    <xf numFmtId="0" fontId="0" fillId="0" borderId="1" xfId="0" applyBorder="1" applyAlignment="1">
      <alignment vertical="top" wrapText="1"/>
    </xf>
    <xf numFmtId="2" fontId="0" fillId="0" borderId="1" xfId="0" applyNumberFormat="1" applyBorder="1" applyAlignment="1">
      <alignment vertical="top" wrapText="1"/>
    </xf>
    <xf numFmtId="0" fontId="7" fillId="0" borderId="1" xfId="0" applyFont="1" applyBorder="1" applyAlignment="1">
      <alignment vertical="top" wrapText="1"/>
    </xf>
    <xf numFmtId="0" fontId="0" fillId="9" borderId="0" xfId="0" applyFill="1"/>
    <xf numFmtId="0" fontId="3" fillId="9" borderId="0" xfId="0" applyFont="1" applyFill="1"/>
    <xf numFmtId="0" fontId="7" fillId="0" borderId="1" xfId="0" applyFont="1" applyBorder="1"/>
    <xf numFmtId="2" fontId="7" fillId="0" borderId="1" xfId="0" applyNumberFormat="1" applyFont="1" applyBorder="1"/>
    <xf numFmtId="0" fontId="0" fillId="0" borderId="7" xfId="0" applyBorder="1" applyAlignment="1">
      <alignment horizontal="center"/>
    </xf>
    <xf numFmtId="0" fontId="0" fillId="0" borderId="8" xfId="0" applyBorder="1" applyAlignment="1">
      <alignment horizontal="center"/>
    </xf>
    <xf numFmtId="2" fontId="0" fillId="0" borderId="0" xfId="0" applyNumberFormat="1"/>
    <xf numFmtId="0" fontId="7" fillId="0" borderId="0" xfId="0" applyFont="1"/>
    <xf numFmtId="0" fontId="7" fillId="4" borderId="1" xfId="0" applyFont="1" applyFill="1" applyBorder="1" applyAlignment="1">
      <alignment horizontal="center" vertical="center" wrapText="1"/>
    </xf>
    <xf numFmtId="0" fontId="7" fillId="4" borderId="1" xfId="0" applyFont="1" applyFill="1" applyBorder="1" applyAlignment="1">
      <alignment horizontal="left" vertical="center" wrapText="1"/>
    </xf>
    <xf numFmtId="2" fontId="7" fillId="4" borderId="1" xfId="0" applyNumberFormat="1" applyFont="1" applyFill="1" applyBorder="1" applyAlignment="1">
      <alignment horizontal="center" vertical="center" wrapText="1"/>
    </xf>
    <xf numFmtId="2" fontId="9" fillId="0" borderId="1" xfId="0" applyNumberFormat="1" applyFont="1" applyBorder="1" applyAlignment="1">
      <alignment horizontal="center" vertical="center"/>
    </xf>
    <xf numFmtId="2" fontId="9" fillId="0" borderId="1" xfId="0" applyNumberFormat="1" applyFont="1" applyBorder="1" applyAlignment="1">
      <alignment horizontal="center" vertical="center" wrapText="1"/>
    </xf>
    <xf numFmtId="1" fontId="9" fillId="0" borderId="2" xfId="0" applyNumberFormat="1" applyFont="1" applyBorder="1" applyAlignment="1">
      <alignment horizontal="center" vertical="center"/>
    </xf>
    <xf numFmtId="2" fontId="9" fillId="0" borderId="1" xfId="0" applyNumberFormat="1" applyFont="1" applyBorder="1" applyAlignment="1">
      <alignment vertical="center"/>
    </xf>
    <xf numFmtId="2" fontId="9" fillId="0" borderId="1" xfId="0" applyNumberFormat="1" applyFont="1" applyBorder="1" applyAlignment="1">
      <alignment vertical="center" wrapText="1"/>
    </xf>
    <xf numFmtId="0" fontId="0" fillId="0" borderId="0" xfId="0" applyFill="1"/>
    <xf numFmtId="0" fontId="0" fillId="0" borderId="1" xfId="0" applyFill="1" applyBorder="1" applyAlignment="1">
      <alignment horizontal="center" vertical="top"/>
    </xf>
    <xf numFmtId="0" fontId="0" fillId="0" borderId="1" xfId="0" applyBorder="1" applyAlignment="1">
      <alignment horizontal="center" vertical="center"/>
    </xf>
    <xf numFmtId="0" fontId="10" fillId="10" borderId="9" xfId="0" applyFont="1" applyFill="1" applyBorder="1" applyAlignment="1">
      <alignment horizontal="center" wrapText="1"/>
    </xf>
    <xf numFmtId="0" fontId="10" fillId="10" borderId="10" xfId="0" applyFont="1" applyFill="1" applyBorder="1" applyAlignment="1">
      <alignment horizontal="center" wrapText="1"/>
    </xf>
    <xf numFmtId="0" fontId="10" fillId="10" borderId="11" xfId="0" applyFont="1" applyFill="1" applyBorder="1" applyAlignment="1">
      <alignment wrapText="1"/>
    </xf>
    <xf numFmtId="0" fontId="10" fillId="10" borderId="12" xfId="0" applyFont="1" applyFill="1" applyBorder="1" applyAlignment="1">
      <alignment horizontal="center" wrapText="1"/>
    </xf>
    <xf numFmtId="0" fontId="11" fillId="0" borderId="11" xfId="0" applyFont="1" applyBorder="1"/>
    <xf numFmtId="0" fontId="11" fillId="0" borderId="12" xfId="0" applyFont="1" applyBorder="1"/>
    <xf numFmtId="0" fontId="11" fillId="0" borderId="12" xfId="0" applyFont="1" applyBorder="1" applyAlignment="1">
      <alignment horizontal="right"/>
    </xf>
    <xf numFmtId="0" fontId="11" fillId="0" borderId="13" xfId="0" applyFont="1" applyBorder="1"/>
    <xf numFmtId="0" fontId="11" fillId="0" borderId="14" xfId="0" applyFont="1" applyBorder="1"/>
    <xf numFmtId="0" fontId="11" fillId="0" borderId="13" xfId="0" applyFont="1" applyBorder="1" applyAlignment="1">
      <alignment horizontal="right"/>
    </xf>
    <xf numFmtId="0" fontId="11" fillId="0" borderId="11" xfId="0" applyFont="1" applyBorder="1" applyAlignment="1">
      <alignment horizontal="right"/>
    </xf>
    <xf numFmtId="0" fontId="10" fillId="10" borderId="15" xfId="0" applyFont="1" applyFill="1" applyBorder="1" applyAlignment="1">
      <alignment horizontal="center" wrapText="1"/>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haredStrings" Target="sharedStrings.xml"/><Relationship Id="rId13" Type="http://schemas.openxmlformats.org/officeDocument/2006/relationships/styles" Target="style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7"/>
  <sheetViews>
    <sheetView workbookViewId="0">
      <selection activeCell="A1" sqref="A1:N57"/>
    </sheetView>
  </sheetViews>
  <sheetFormatPr defaultColWidth="9" defaultRowHeight="15"/>
  <cols>
    <col min="3" max="3" width="83.4285714285714" customWidth="1"/>
  </cols>
  <sheetData>
    <row r="1" ht="15.75" spans="1:14">
      <c r="A1" s="103" t="s">
        <v>0</v>
      </c>
      <c r="B1" s="104"/>
      <c r="C1" s="104"/>
      <c r="D1" s="104"/>
      <c r="E1" s="104"/>
      <c r="F1" s="104"/>
      <c r="G1" s="104"/>
      <c r="H1" s="104"/>
      <c r="I1" s="104"/>
      <c r="J1" s="104"/>
      <c r="K1" s="104"/>
      <c r="L1" s="104"/>
      <c r="M1" s="104"/>
      <c r="N1" s="114"/>
    </row>
    <row r="2" ht="45.75" spans="1:14">
      <c r="A2" s="105" t="s">
        <v>1</v>
      </c>
      <c r="B2" s="106" t="s">
        <v>2</v>
      </c>
      <c r="C2" s="106" t="s">
        <v>3</v>
      </c>
      <c r="D2" s="106" t="s">
        <v>4</v>
      </c>
      <c r="E2" s="106" t="s">
        <v>5</v>
      </c>
      <c r="F2" s="106" t="s">
        <v>6</v>
      </c>
      <c r="G2" s="106" t="s">
        <v>7</v>
      </c>
      <c r="H2" s="106" t="s">
        <v>8</v>
      </c>
      <c r="I2" s="106" t="s">
        <v>9</v>
      </c>
      <c r="J2" s="106" t="s">
        <v>10</v>
      </c>
      <c r="K2" s="106" t="s">
        <v>11</v>
      </c>
      <c r="L2" s="106" t="s">
        <v>12</v>
      </c>
      <c r="M2" s="106" t="s">
        <v>13</v>
      </c>
      <c r="N2" s="106" t="s">
        <v>14</v>
      </c>
    </row>
    <row r="3" ht="15.75" spans="1:14">
      <c r="A3" s="107" t="s">
        <v>15</v>
      </c>
      <c r="B3" s="108" t="s">
        <v>0</v>
      </c>
      <c r="C3" s="108" t="s">
        <v>16</v>
      </c>
      <c r="D3" s="109">
        <v>2</v>
      </c>
      <c r="E3" s="109">
        <v>0</v>
      </c>
      <c r="F3" s="109">
        <v>1</v>
      </c>
      <c r="G3" s="109">
        <v>0</v>
      </c>
      <c r="H3" s="109">
        <v>0</v>
      </c>
      <c r="I3" s="109">
        <v>0</v>
      </c>
      <c r="J3" s="109">
        <v>0</v>
      </c>
      <c r="K3" s="109">
        <v>1</v>
      </c>
      <c r="L3" s="109">
        <v>0</v>
      </c>
      <c r="M3" s="109">
        <v>0</v>
      </c>
      <c r="N3" s="109">
        <v>0</v>
      </c>
    </row>
    <row r="4" ht="15.75" spans="1:14">
      <c r="A4" s="107" t="s">
        <v>17</v>
      </c>
      <c r="B4" s="108" t="s">
        <v>0</v>
      </c>
      <c r="C4" s="108" t="s">
        <v>18</v>
      </c>
      <c r="D4" s="109">
        <v>13.79</v>
      </c>
      <c r="E4" s="109">
        <v>0</v>
      </c>
      <c r="F4" s="109">
        <v>2.36</v>
      </c>
      <c r="G4" s="109">
        <v>0.74</v>
      </c>
      <c r="H4" s="109">
        <v>0.88</v>
      </c>
      <c r="I4" s="109">
        <v>1.29</v>
      </c>
      <c r="J4" s="109">
        <v>3.06</v>
      </c>
      <c r="K4" s="109">
        <v>1.41</v>
      </c>
      <c r="L4" s="109">
        <v>2.2</v>
      </c>
      <c r="M4" s="109">
        <v>0.88</v>
      </c>
      <c r="N4" s="109">
        <v>0.97</v>
      </c>
    </row>
    <row r="5" ht="15.75" spans="1:14">
      <c r="A5" s="107" t="s">
        <v>19</v>
      </c>
      <c r="B5" s="108" t="s">
        <v>0</v>
      </c>
      <c r="C5" s="108" t="s">
        <v>20</v>
      </c>
      <c r="D5" s="109">
        <v>51.53</v>
      </c>
      <c r="E5" s="109">
        <v>0</v>
      </c>
      <c r="F5" s="109">
        <v>1.82</v>
      </c>
      <c r="G5" s="109">
        <v>1.82</v>
      </c>
      <c r="H5" s="109">
        <v>0</v>
      </c>
      <c r="I5" s="109">
        <v>3.64</v>
      </c>
      <c r="J5" s="109">
        <v>13.68</v>
      </c>
      <c r="K5" s="109">
        <v>18.24</v>
      </c>
      <c r="L5" s="109">
        <v>7.76</v>
      </c>
      <c r="M5" s="109">
        <v>4.56</v>
      </c>
      <c r="N5" s="109">
        <v>0</v>
      </c>
    </row>
    <row r="6" ht="15.75" spans="1:14">
      <c r="A6" s="107" t="s">
        <v>21</v>
      </c>
      <c r="B6" s="108" t="s">
        <v>0</v>
      </c>
      <c r="C6" s="108" t="s">
        <v>22</v>
      </c>
      <c r="D6" s="109">
        <v>26.01</v>
      </c>
      <c r="E6" s="109">
        <v>16.8</v>
      </c>
      <c r="F6" s="109">
        <v>0.8</v>
      </c>
      <c r="G6" s="109">
        <v>0.8</v>
      </c>
      <c r="H6" s="109">
        <v>0</v>
      </c>
      <c r="I6" s="109">
        <v>0.11</v>
      </c>
      <c r="J6" s="109">
        <v>3.29</v>
      </c>
      <c r="K6" s="109">
        <v>2.3</v>
      </c>
      <c r="L6" s="109">
        <v>1.18</v>
      </c>
      <c r="M6" s="109">
        <v>0.73</v>
      </c>
      <c r="N6" s="109">
        <v>0</v>
      </c>
    </row>
    <row r="7" ht="15.75" spans="1:14">
      <c r="A7" s="107" t="s">
        <v>23</v>
      </c>
      <c r="B7" s="108" t="s">
        <v>0</v>
      </c>
      <c r="C7" s="108" t="s">
        <v>24</v>
      </c>
      <c r="D7" s="109">
        <v>2</v>
      </c>
      <c r="E7" s="109">
        <v>2</v>
      </c>
      <c r="F7" s="109">
        <v>0</v>
      </c>
      <c r="G7" s="109">
        <v>0</v>
      </c>
      <c r="H7" s="109">
        <v>0</v>
      </c>
      <c r="I7" s="109">
        <v>0</v>
      </c>
      <c r="J7" s="109">
        <v>0</v>
      </c>
      <c r="K7" s="109">
        <v>0</v>
      </c>
      <c r="L7" s="109">
        <v>0</v>
      </c>
      <c r="M7" s="109">
        <v>0</v>
      </c>
      <c r="N7" s="109">
        <v>0</v>
      </c>
    </row>
    <row r="8" ht="15.75" spans="1:14">
      <c r="A8" s="107" t="s">
        <v>25</v>
      </c>
      <c r="B8" s="108" t="s">
        <v>0</v>
      </c>
      <c r="C8" s="108" t="s">
        <v>26</v>
      </c>
      <c r="D8" s="109">
        <v>0.62</v>
      </c>
      <c r="E8" s="109">
        <v>0</v>
      </c>
      <c r="F8" s="109">
        <v>0.056</v>
      </c>
      <c r="G8" s="109">
        <v>0.056</v>
      </c>
      <c r="H8" s="109">
        <v>0.084</v>
      </c>
      <c r="I8" s="109">
        <v>0.056</v>
      </c>
      <c r="J8" s="109">
        <v>0.112</v>
      </c>
      <c r="K8" s="109">
        <v>0.084</v>
      </c>
      <c r="L8" s="109">
        <v>0.056</v>
      </c>
      <c r="M8" s="109">
        <v>0.056</v>
      </c>
      <c r="N8" s="109">
        <v>0.056</v>
      </c>
    </row>
    <row r="9" ht="15.75" spans="1:14">
      <c r="A9" s="107" t="s">
        <v>27</v>
      </c>
      <c r="B9" s="108" t="s">
        <v>28</v>
      </c>
      <c r="C9" s="108" t="s">
        <v>29</v>
      </c>
      <c r="D9" s="109">
        <v>2.57</v>
      </c>
      <c r="E9" s="109">
        <v>2.57</v>
      </c>
      <c r="F9" s="109">
        <v>0</v>
      </c>
      <c r="G9" s="109">
        <v>0</v>
      </c>
      <c r="H9" s="109">
        <v>0</v>
      </c>
      <c r="I9" s="109">
        <v>0</v>
      </c>
      <c r="J9" s="109">
        <v>0</v>
      </c>
      <c r="K9" s="109">
        <v>0</v>
      </c>
      <c r="L9" s="109">
        <v>0</v>
      </c>
      <c r="M9" s="109">
        <v>0</v>
      </c>
      <c r="N9" s="109">
        <v>0</v>
      </c>
    </row>
    <row r="10" ht="15.75" spans="1:14">
      <c r="A10" s="107" t="s">
        <v>30</v>
      </c>
      <c r="B10" s="108" t="s">
        <v>28</v>
      </c>
      <c r="C10" s="108" t="s">
        <v>31</v>
      </c>
      <c r="D10" s="109">
        <v>1</v>
      </c>
      <c r="E10" s="109">
        <v>1</v>
      </c>
      <c r="F10" s="109">
        <v>0</v>
      </c>
      <c r="G10" s="109">
        <v>0</v>
      </c>
      <c r="H10" s="109">
        <v>0</v>
      </c>
      <c r="I10" s="109">
        <v>0</v>
      </c>
      <c r="J10" s="109">
        <v>0</v>
      </c>
      <c r="K10" s="109">
        <v>0</v>
      </c>
      <c r="L10" s="109">
        <v>0</v>
      </c>
      <c r="M10" s="109">
        <v>0</v>
      </c>
      <c r="N10" s="109">
        <v>0</v>
      </c>
    </row>
    <row r="11" spans="1:14">
      <c r="A11" s="110" t="s">
        <v>32</v>
      </c>
      <c r="B11" s="110" t="s">
        <v>28</v>
      </c>
      <c r="C11" s="111" t="s">
        <v>33</v>
      </c>
      <c r="D11" s="112">
        <v>2.53</v>
      </c>
      <c r="E11" s="112">
        <v>2.53</v>
      </c>
      <c r="F11" s="112">
        <v>0</v>
      </c>
      <c r="G11" s="112">
        <v>0</v>
      </c>
      <c r="H11" s="112">
        <v>0</v>
      </c>
      <c r="I11" s="112">
        <v>0</v>
      </c>
      <c r="J11" s="112">
        <v>0</v>
      </c>
      <c r="K11" s="112">
        <v>0</v>
      </c>
      <c r="L11" s="112">
        <v>0</v>
      </c>
      <c r="M11" s="112">
        <v>0</v>
      </c>
      <c r="N11" s="112">
        <v>0</v>
      </c>
    </row>
    <row r="12" ht="15.75" spans="1:14">
      <c r="A12" s="107"/>
      <c r="B12" s="107"/>
      <c r="C12" s="108" t="s">
        <v>34</v>
      </c>
      <c r="D12" s="113"/>
      <c r="E12" s="113"/>
      <c r="F12" s="113"/>
      <c r="G12" s="113"/>
      <c r="H12" s="113"/>
      <c r="I12" s="113"/>
      <c r="J12" s="113"/>
      <c r="K12" s="113"/>
      <c r="L12" s="113"/>
      <c r="M12" s="113"/>
      <c r="N12" s="113"/>
    </row>
    <row r="13" ht="15.75" spans="1:14">
      <c r="A13" s="107" t="s">
        <v>35</v>
      </c>
      <c r="B13" s="108" t="s">
        <v>28</v>
      </c>
      <c r="C13" s="108" t="s">
        <v>36</v>
      </c>
      <c r="D13" s="109">
        <v>0.17</v>
      </c>
      <c r="E13" s="109">
        <v>0.17</v>
      </c>
      <c r="F13" s="109">
        <v>0</v>
      </c>
      <c r="G13" s="109">
        <v>0</v>
      </c>
      <c r="H13" s="109">
        <v>0</v>
      </c>
      <c r="I13" s="109">
        <v>0</v>
      </c>
      <c r="J13" s="109">
        <v>0</v>
      </c>
      <c r="K13" s="109">
        <v>0</v>
      </c>
      <c r="L13" s="109">
        <v>0</v>
      </c>
      <c r="M13" s="109">
        <v>0</v>
      </c>
      <c r="N13" s="109">
        <v>0</v>
      </c>
    </row>
    <row r="14" ht="15.75" spans="1:14">
      <c r="A14" s="107" t="s">
        <v>37</v>
      </c>
      <c r="B14" s="108" t="s">
        <v>28</v>
      </c>
      <c r="C14" s="108" t="s">
        <v>38</v>
      </c>
      <c r="D14" s="109">
        <v>0.14</v>
      </c>
      <c r="E14" s="109">
        <v>0.14</v>
      </c>
      <c r="F14" s="109">
        <v>0</v>
      </c>
      <c r="G14" s="109">
        <v>0</v>
      </c>
      <c r="H14" s="109">
        <v>0</v>
      </c>
      <c r="I14" s="109">
        <v>0</v>
      </c>
      <c r="J14" s="109">
        <v>0</v>
      </c>
      <c r="K14" s="109">
        <v>0</v>
      </c>
      <c r="L14" s="109">
        <v>0</v>
      </c>
      <c r="M14" s="109">
        <v>0</v>
      </c>
      <c r="N14" s="109">
        <v>0</v>
      </c>
    </row>
    <row r="15" ht="15.75" spans="1:14">
      <c r="A15" s="107" t="s">
        <v>39</v>
      </c>
      <c r="B15" s="108" t="s">
        <v>28</v>
      </c>
      <c r="C15" s="108" t="s">
        <v>40</v>
      </c>
      <c r="D15" s="109">
        <v>0.67</v>
      </c>
      <c r="E15" s="109">
        <v>0.67</v>
      </c>
      <c r="F15" s="109">
        <v>0</v>
      </c>
      <c r="G15" s="109">
        <v>0</v>
      </c>
      <c r="H15" s="109">
        <v>0</v>
      </c>
      <c r="I15" s="109">
        <v>0</v>
      </c>
      <c r="J15" s="109">
        <v>0</v>
      </c>
      <c r="K15" s="109">
        <v>0</v>
      </c>
      <c r="L15" s="109">
        <v>0</v>
      </c>
      <c r="M15" s="109">
        <v>0</v>
      </c>
      <c r="N15" s="109">
        <v>0</v>
      </c>
    </row>
    <row r="16" ht="15.75" spans="1:14">
      <c r="A16" s="107" t="s">
        <v>41</v>
      </c>
      <c r="B16" s="108" t="s">
        <v>28</v>
      </c>
      <c r="C16" s="108" t="s">
        <v>42</v>
      </c>
      <c r="D16" s="109">
        <v>40.98</v>
      </c>
      <c r="E16" s="109">
        <v>40.98</v>
      </c>
      <c r="F16" s="109">
        <v>0</v>
      </c>
      <c r="G16" s="109">
        <v>0</v>
      </c>
      <c r="H16" s="109">
        <v>0</v>
      </c>
      <c r="I16" s="109">
        <v>0</v>
      </c>
      <c r="J16" s="109">
        <v>0</v>
      </c>
      <c r="K16" s="109">
        <v>0</v>
      </c>
      <c r="L16" s="109">
        <v>0</v>
      </c>
      <c r="M16" s="109">
        <v>0</v>
      </c>
      <c r="N16" s="109">
        <v>0</v>
      </c>
    </row>
    <row r="17" ht="15.75" spans="1:14">
      <c r="A17" s="107" t="s">
        <v>43</v>
      </c>
      <c r="B17" s="108" t="s">
        <v>28</v>
      </c>
      <c r="C17" s="108" t="s">
        <v>44</v>
      </c>
      <c r="D17" s="109">
        <v>132.01</v>
      </c>
      <c r="E17" s="109">
        <v>132.01</v>
      </c>
      <c r="F17" s="109">
        <v>0</v>
      </c>
      <c r="G17" s="109">
        <v>0</v>
      </c>
      <c r="H17" s="109">
        <v>0</v>
      </c>
      <c r="I17" s="109">
        <v>0</v>
      </c>
      <c r="J17" s="109">
        <v>0</v>
      </c>
      <c r="K17" s="109">
        <v>0</v>
      </c>
      <c r="L17" s="109">
        <v>0</v>
      </c>
      <c r="M17" s="109">
        <v>0</v>
      </c>
      <c r="N17" s="109">
        <v>0</v>
      </c>
    </row>
    <row r="18" ht="15.75" spans="1:14">
      <c r="A18" s="107" t="s">
        <v>45</v>
      </c>
      <c r="B18" s="108" t="s">
        <v>28</v>
      </c>
      <c r="C18" s="108" t="s">
        <v>46</v>
      </c>
      <c r="D18" s="109">
        <v>8.64</v>
      </c>
      <c r="E18" s="109">
        <v>0</v>
      </c>
      <c r="F18" s="109">
        <v>0.96</v>
      </c>
      <c r="G18" s="109">
        <v>0.96</v>
      </c>
      <c r="H18" s="109">
        <v>0.96</v>
      </c>
      <c r="I18" s="109">
        <v>0.96</v>
      </c>
      <c r="J18" s="109">
        <v>0.96</v>
      </c>
      <c r="K18" s="109">
        <v>0.96</v>
      </c>
      <c r="L18" s="109">
        <v>0.96</v>
      </c>
      <c r="M18" s="109">
        <v>0.96</v>
      </c>
      <c r="N18" s="109">
        <v>0.96</v>
      </c>
    </row>
    <row r="19" ht="15.75" spans="1:14">
      <c r="A19" s="107" t="s">
        <v>47</v>
      </c>
      <c r="B19" s="108" t="s">
        <v>0</v>
      </c>
      <c r="C19" s="108" t="s">
        <v>48</v>
      </c>
      <c r="D19" s="109">
        <v>22.04</v>
      </c>
      <c r="E19" s="109">
        <v>22.04</v>
      </c>
      <c r="F19" s="109">
        <v>0</v>
      </c>
      <c r="G19" s="109">
        <v>0</v>
      </c>
      <c r="H19" s="109">
        <v>0</v>
      </c>
      <c r="I19" s="109">
        <v>0</v>
      </c>
      <c r="J19" s="109">
        <v>0</v>
      </c>
      <c r="K19" s="109">
        <v>0</v>
      </c>
      <c r="L19" s="109">
        <v>0</v>
      </c>
      <c r="M19" s="109">
        <v>0</v>
      </c>
      <c r="N19" s="109">
        <v>0</v>
      </c>
    </row>
    <row r="20" ht="15.75" spans="1:14">
      <c r="A20" s="107" t="s">
        <v>49</v>
      </c>
      <c r="B20" s="108" t="s">
        <v>0</v>
      </c>
      <c r="C20" s="108" t="s">
        <v>50</v>
      </c>
      <c r="D20" s="109">
        <v>2</v>
      </c>
      <c r="E20" s="109">
        <v>2</v>
      </c>
      <c r="F20" s="109">
        <v>0</v>
      </c>
      <c r="G20" s="109">
        <v>0</v>
      </c>
      <c r="H20" s="109">
        <v>0</v>
      </c>
      <c r="I20" s="109">
        <v>0</v>
      </c>
      <c r="J20" s="109">
        <v>0</v>
      </c>
      <c r="K20" s="109">
        <v>0</v>
      </c>
      <c r="L20" s="109">
        <v>0</v>
      </c>
      <c r="M20" s="109">
        <v>0</v>
      </c>
      <c r="N20" s="109">
        <v>0</v>
      </c>
    </row>
    <row r="21" ht="15.75" spans="1:14">
      <c r="A21" s="107" t="s">
        <v>51</v>
      </c>
      <c r="B21" s="108" t="s">
        <v>0</v>
      </c>
      <c r="C21" s="108" t="s">
        <v>52</v>
      </c>
      <c r="D21" s="109">
        <v>2</v>
      </c>
      <c r="E21" s="109">
        <v>0</v>
      </c>
      <c r="F21" s="109">
        <v>1</v>
      </c>
      <c r="G21" s="109">
        <v>0</v>
      </c>
      <c r="H21" s="109">
        <v>0</v>
      </c>
      <c r="I21" s="109">
        <v>0</v>
      </c>
      <c r="J21" s="109">
        <v>0</v>
      </c>
      <c r="K21" s="109">
        <v>1</v>
      </c>
      <c r="L21" s="109">
        <v>0</v>
      </c>
      <c r="M21" s="109">
        <v>0</v>
      </c>
      <c r="N21" s="109">
        <v>0</v>
      </c>
    </row>
    <row r="22" ht="15.75" spans="1:14">
      <c r="A22" s="107" t="s">
        <v>53</v>
      </c>
      <c r="B22" s="108" t="s">
        <v>28</v>
      </c>
      <c r="C22" s="108" t="s">
        <v>54</v>
      </c>
      <c r="D22" s="109">
        <v>68.9</v>
      </c>
      <c r="E22" s="109">
        <v>2.3</v>
      </c>
      <c r="F22" s="109">
        <v>8.54</v>
      </c>
      <c r="G22" s="109">
        <v>8.2</v>
      </c>
      <c r="H22" s="109">
        <v>8.93</v>
      </c>
      <c r="I22" s="109">
        <v>5.98</v>
      </c>
      <c r="J22" s="109">
        <v>6.83</v>
      </c>
      <c r="K22" s="109">
        <v>10.61</v>
      </c>
      <c r="L22" s="109">
        <v>6.99</v>
      </c>
      <c r="M22" s="109">
        <v>5.08</v>
      </c>
      <c r="N22" s="109">
        <v>5.44</v>
      </c>
    </row>
    <row r="23" ht="15.75" spans="1:14">
      <c r="A23" s="107" t="s">
        <v>55</v>
      </c>
      <c r="B23" s="108" t="s">
        <v>28</v>
      </c>
      <c r="C23" s="108" t="s">
        <v>56</v>
      </c>
      <c r="D23" s="109">
        <v>30.67</v>
      </c>
      <c r="E23" s="109">
        <v>2.51</v>
      </c>
      <c r="F23" s="109">
        <v>3.27</v>
      </c>
      <c r="G23" s="109">
        <v>2.93</v>
      </c>
      <c r="H23" s="109">
        <v>3.34</v>
      </c>
      <c r="I23" s="109">
        <v>2.51</v>
      </c>
      <c r="J23" s="109">
        <v>3.42</v>
      </c>
      <c r="K23" s="109">
        <v>4.67</v>
      </c>
      <c r="L23" s="109">
        <v>3.42</v>
      </c>
      <c r="M23" s="109">
        <v>2.23</v>
      </c>
      <c r="N23" s="109">
        <v>2.37</v>
      </c>
    </row>
    <row r="24" ht="15.75" spans="1:14">
      <c r="A24" s="107" t="s">
        <v>57</v>
      </c>
      <c r="B24" s="108" t="s">
        <v>0</v>
      </c>
      <c r="C24" s="108" t="s">
        <v>58</v>
      </c>
      <c r="D24" s="109">
        <v>3.6</v>
      </c>
      <c r="E24" s="109">
        <v>0</v>
      </c>
      <c r="F24" s="109">
        <v>0.4</v>
      </c>
      <c r="G24" s="109">
        <v>0.4</v>
      </c>
      <c r="H24" s="109">
        <v>0.4</v>
      </c>
      <c r="I24" s="109">
        <v>0.4</v>
      </c>
      <c r="J24" s="109">
        <v>0.4</v>
      </c>
      <c r="K24" s="109">
        <v>0.4</v>
      </c>
      <c r="L24" s="109">
        <v>0.4</v>
      </c>
      <c r="M24" s="109">
        <v>0.4</v>
      </c>
      <c r="N24" s="109">
        <v>0.4</v>
      </c>
    </row>
    <row r="25" ht="15.75" spans="1:14">
      <c r="A25" s="107" t="s">
        <v>59</v>
      </c>
      <c r="B25" s="108" t="s">
        <v>0</v>
      </c>
      <c r="C25" s="108" t="s">
        <v>60</v>
      </c>
      <c r="D25" s="109">
        <v>23.69</v>
      </c>
      <c r="E25" s="109">
        <v>23.69</v>
      </c>
      <c r="F25" s="109">
        <v>0</v>
      </c>
      <c r="G25" s="109">
        <v>0</v>
      </c>
      <c r="H25" s="109">
        <v>0</v>
      </c>
      <c r="I25" s="109">
        <v>0</v>
      </c>
      <c r="J25" s="109">
        <v>0</v>
      </c>
      <c r="K25" s="109">
        <v>0</v>
      </c>
      <c r="L25" s="109">
        <v>0</v>
      </c>
      <c r="M25" s="109">
        <v>0</v>
      </c>
      <c r="N25" s="109">
        <v>0</v>
      </c>
    </row>
    <row r="26" ht="15.75" spans="1:14">
      <c r="A26" s="107" t="s">
        <v>61</v>
      </c>
      <c r="B26" s="108" t="s">
        <v>0</v>
      </c>
      <c r="C26" s="108" t="s">
        <v>62</v>
      </c>
      <c r="D26" s="109">
        <v>18</v>
      </c>
      <c r="E26" s="109">
        <v>12.6</v>
      </c>
      <c r="F26" s="109">
        <v>0.6</v>
      </c>
      <c r="G26" s="109">
        <v>0.6</v>
      </c>
      <c r="H26" s="109">
        <v>0.6</v>
      </c>
      <c r="I26" s="109">
        <v>0.6</v>
      </c>
      <c r="J26" s="109">
        <v>0.6</v>
      </c>
      <c r="K26" s="109">
        <v>0.6</v>
      </c>
      <c r="L26" s="109">
        <v>0.6</v>
      </c>
      <c r="M26" s="109">
        <v>0.6</v>
      </c>
      <c r="N26" s="109">
        <v>0.6</v>
      </c>
    </row>
    <row r="27" ht="15.75" spans="1:14">
      <c r="A27" s="107" t="s">
        <v>63</v>
      </c>
      <c r="B27" s="108" t="s">
        <v>0</v>
      </c>
      <c r="C27" s="108" t="s">
        <v>64</v>
      </c>
      <c r="D27" s="109">
        <v>68.41</v>
      </c>
      <c r="E27" s="109">
        <v>44.38</v>
      </c>
      <c r="F27" s="109">
        <v>2.43</v>
      </c>
      <c r="G27" s="109">
        <v>2.43</v>
      </c>
      <c r="H27" s="109">
        <v>2.97</v>
      </c>
      <c r="I27" s="109">
        <v>2.43</v>
      </c>
      <c r="J27" s="109">
        <v>3.51</v>
      </c>
      <c r="K27" s="109">
        <v>2.97</v>
      </c>
      <c r="L27" s="109">
        <v>2.43</v>
      </c>
      <c r="M27" s="109">
        <v>2.43</v>
      </c>
      <c r="N27" s="109">
        <v>2.43</v>
      </c>
    </row>
    <row r="28" ht="15.75" spans="1:14">
      <c r="A28" s="107" t="s">
        <v>65</v>
      </c>
      <c r="B28" s="108" t="s">
        <v>0</v>
      </c>
      <c r="C28" s="108" t="s">
        <v>66</v>
      </c>
      <c r="D28" s="109">
        <v>67.62</v>
      </c>
      <c r="E28" s="109">
        <v>41.58</v>
      </c>
      <c r="F28" s="109">
        <v>2.76</v>
      </c>
      <c r="G28" s="109">
        <v>2.76</v>
      </c>
      <c r="H28" s="109">
        <v>3.06</v>
      </c>
      <c r="I28" s="109">
        <v>2.76</v>
      </c>
      <c r="J28" s="109">
        <v>3.36</v>
      </c>
      <c r="K28" s="109">
        <v>3.06</v>
      </c>
      <c r="L28" s="109">
        <v>2.76</v>
      </c>
      <c r="M28" s="109">
        <v>2.76</v>
      </c>
      <c r="N28" s="109">
        <v>2.76</v>
      </c>
    </row>
    <row r="29" ht="15.75" spans="1:14">
      <c r="A29" s="107" t="s">
        <v>67</v>
      </c>
      <c r="B29" s="108" t="s">
        <v>0</v>
      </c>
      <c r="C29" s="108" t="s">
        <v>68</v>
      </c>
      <c r="D29" s="109">
        <v>23.69</v>
      </c>
      <c r="E29" s="109">
        <v>0</v>
      </c>
      <c r="F29" s="109">
        <v>0</v>
      </c>
      <c r="G29" s="109">
        <v>0</v>
      </c>
      <c r="H29" s="109">
        <v>0</v>
      </c>
      <c r="I29" s="109">
        <v>0</v>
      </c>
      <c r="J29" s="109">
        <v>0</v>
      </c>
      <c r="K29" s="109">
        <v>23.69</v>
      </c>
      <c r="L29" s="109">
        <v>0</v>
      </c>
      <c r="M29" s="109">
        <v>0</v>
      </c>
      <c r="N29" s="109">
        <v>0</v>
      </c>
    </row>
    <row r="30" ht="15.75" spans="1:14">
      <c r="A30" s="107" t="s">
        <v>69</v>
      </c>
      <c r="B30" s="108" t="s">
        <v>0</v>
      </c>
      <c r="C30" s="108" t="s">
        <v>70</v>
      </c>
      <c r="D30" s="109">
        <v>21</v>
      </c>
      <c r="E30" s="109">
        <v>12</v>
      </c>
      <c r="F30" s="109">
        <v>1</v>
      </c>
      <c r="G30" s="109">
        <v>1</v>
      </c>
      <c r="H30" s="109">
        <v>1</v>
      </c>
      <c r="I30" s="109">
        <v>1</v>
      </c>
      <c r="J30" s="109">
        <v>1</v>
      </c>
      <c r="K30" s="109">
        <v>1</v>
      </c>
      <c r="L30" s="109">
        <v>1</v>
      </c>
      <c r="M30" s="109">
        <v>1</v>
      </c>
      <c r="N30" s="109">
        <v>1</v>
      </c>
    </row>
    <row r="31" ht="15.75" spans="1:14">
      <c r="A31" s="107" t="s">
        <v>71</v>
      </c>
      <c r="B31" s="108" t="s">
        <v>0</v>
      </c>
      <c r="C31" s="108" t="s">
        <v>72</v>
      </c>
      <c r="D31" s="109">
        <v>8.99</v>
      </c>
      <c r="E31" s="109">
        <v>2.43</v>
      </c>
      <c r="F31" s="109">
        <v>0.88</v>
      </c>
      <c r="G31" s="109">
        <v>0.88</v>
      </c>
      <c r="H31" s="109">
        <v>0.66</v>
      </c>
      <c r="I31" s="109">
        <v>0.64</v>
      </c>
      <c r="J31" s="109">
        <v>0.68</v>
      </c>
      <c r="K31" s="109">
        <v>0.9</v>
      </c>
      <c r="L31" s="109">
        <v>0.64</v>
      </c>
      <c r="M31" s="109">
        <v>0.64</v>
      </c>
      <c r="N31" s="109">
        <v>0.64</v>
      </c>
    </row>
    <row r="32" ht="15.75" spans="1:14">
      <c r="A32" s="107" t="s">
        <v>73</v>
      </c>
      <c r="B32" s="108" t="s">
        <v>0</v>
      </c>
      <c r="C32" s="108" t="s">
        <v>74</v>
      </c>
      <c r="D32" s="109">
        <v>70</v>
      </c>
      <c r="E32" s="109">
        <v>0</v>
      </c>
      <c r="F32" s="109">
        <v>0</v>
      </c>
      <c r="G32" s="109">
        <v>0</v>
      </c>
      <c r="H32" s="109">
        <v>0</v>
      </c>
      <c r="I32" s="109">
        <v>0</v>
      </c>
      <c r="J32" s="109">
        <v>12.18</v>
      </c>
      <c r="K32" s="109">
        <v>31.51</v>
      </c>
      <c r="L32" s="109">
        <v>13.53</v>
      </c>
      <c r="M32" s="109">
        <v>12.78</v>
      </c>
      <c r="N32" s="109">
        <v>0</v>
      </c>
    </row>
    <row r="33" ht="15.75" spans="1:14">
      <c r="A33" s="107" t="s">
        <v>75</v>
      </c>
      <c r="B33" s="108" t="s">
        <v>76</v>
      </c>
      <c r="C33" s="108" t="s">
        <v>77</v>
      </c>
      <c r="D33" s="109">
        <v>0</v>
      </c>
      <c r="E33" s="109">
        <v>0</v>
      </c>
      <c r="F33" s="109">
        <v>0</v>
      </c>
      <c r="G33" s="109">
        <v>0</v>
      </c>
      <c r="H33" s="109">
        <v>0</v>
      </c>
      <c r="I33" s="109">
        <v>0</v>
      </c>
      <c r="J33" s="109">
        <v>0</v>
      </c>
      <c r="K33" s="109">
        <v>0</v>
      </c>
      <c r="L33" s="109">
        <v>0</v>
      </c>
      <c r="M33" s="109">
        <v>0</v>
      </c>
      <c r="N33" s="109">
        <v>0</v>
      </c>
    </row>
    <row r="34" ht="15.75" spans="1:14">
      <c r="A34" s="107" t="s">
        <v>75</v>
      </c>
      <c r="B34" s="108" t="s">
        <v>76</v>
      </c>
      <c r="C34" s="108" t="s">
        <v>78</v>
      </c>
      <c r="D34" s="109">
        <v>6.05</v>
      </c>
      <c r="E34" s="109">
        <v>6.05</v>
      </c>
      <c r="F34" s="109">
        <v>0</v>
      </c>
      <c r="G34" s="109">
        <v>0</v>
      </c>
      <c r="H34" s="109">
        <v>0</v>
      </c>
      <c r="I34" s="109">
        <v>0</v>
      </c>
      <c r="J34" s="109">
        <v>0</v>
      </c>
      <c r="K34" s="109">
        <v>0</v>
      </c>
      <c r="L34" s="109">
        <v>0</v>
      </c>
      <c r="M34" s="109">
        <v>0</v>
      </c>
      <c r="N34" s="109">
        <v>0</v>
      </c>
    </row>
    <row r="35" ht="15.75" spans="1:14">
      <c r="A35" s="107" t="s">
        <v>75</v>
      </c>
      <c r="B35" s="108" t="s">
        <v>76</v>
      </c>
      <c r="C35" s="108" t="s">
        <v>79</v>
      </c>
      <c r="D35" s="109">
        <v>5.04</v>
      </c>
      <c r="E35" s="109">
        <v>5.04</v>
      </c>
      <c r="F35" s="109">
        <v>0</v>
      </c>
      <c r="G35" s="109">
        <v>0</v>
      </c>
      <c r="H35" s="109">
        <v>0</v>
      </c>
      <c r="I35" s="109">
        <v>0</v>
      </c>
      <c r="J35" s="109">
        <v>0</v>
      </c>
      <c r="K35" s="109">
        <v>0</v>
      </c>
      <c r="L35" s="109">
        <v>0</v>
      </c>
      <c r="M35" s="109">
        <v>0</v>
      </c>
      <c r="N35" s="109">
        <v>0</v>
      </c>
    </row>
    <row r="36" ht="15.75" spans="1:14">
      <c r="A36" s="107" t="s">
        <v>75</v>
      </c>
      <c r="B36" s="108" t="s">
        <v>76</v>
      </c>
      <c r="C36" s="108" t="s">
        <v>80</v>
      </c>
      <c r="D36" s="109">
        <v>5.36</v>
      </c>
      <c r="E36" s="109">
        <v>5.36</v>
      </c>
      <c r="F36" s="109">
        <v>0</v>
      </c>
      <c r="G36" s="109">
        <v>0</v>
      </c>
      <c r="H36" s="109">
        <v>0</v>
      </c>
      <c r="I36" s="109">
        <v>0</v>
      </c>
      <c r="J36" s="109">
        <v>0</v>
      </c>
      <c r="K36" s="109">
        <v>0</v>
      </c>
      <c r="L36" s="109">
        <v>0</v>
      </c>
      <c r="M36" s="109">
        <v>0</v>
      </c>
      <c r="N36" s="109">
        <v>0</v>
      </c>
    </row>
    <row r="37" ht="15.75" spans="1:14">
      <c r="A37" s="107" t="s">
        <v>75</v>
      </c>
      <c r="B37" s="108" t="s">
        <v>76</v>
      </c>
      <c r="C37" s="108" t="s">
        <v>81</v>
      </c>
      <c r="D37" s="109">
        <v>5.36</v>
      </c>
      <c r="E37" s="109">
        <v>5.36</v>
      </c>
      <c r="F37" s="109">
        <v>0</v>
      </c>
      <c r="G37" s="109">
        <v>0</v>
      </c>
      <c r="H37" s="109">
        <v>0</v>
      </c>
      <c r="I37" s="109">
        <v>0</v>
      </c>
      <c r="J37" s="109">
        <v>0</v>
      </c>
      <c r="K37" s="109">
        <v>0</v>
      </c>
      <c r="L37" s="109">
        <v>0</v>
      </c>
      <c r="M37" s="109">
        <v>0</v>
      </c>
      <c r="N37" s="109">
        <v>0</v>
      </c>
    </row>
    <row r="38" ht="15.75" spans="1:14">
      <c r="A38" s="107" t="s">
        <v>75</v>
      </c>
      <c r="B38" s="108" t="s">
        <v>76</v>
      </c>
      <c r="C38" s="108" t="s">
        <v>82</v>
      </c>
      <c r="D38" s="109">
        <v>6.74</v>
      </c>
      <c r="E38" s="109">
        <v>6.74</v>
      </c>
      <c r="F38" s="109">
        <v>0</v>
      </c>
      <c r="G38" s="109">
        <v>0</v>
      </c>
      <c r="H38" s="109">
        <v>0</v>
      </c>
      <c r="I38" s="109">
        <v>0</v>
      </c>
      <c r="J38" s="109">
        <v>0</v>
      </c>
      <c r="K38" s="109">
        <v>0</v>
      </c>
      <c r="L38" s="109">
        <v>0</v>
      </c>
      <c r="M38" s="109">
        <v>0</v>
      </c>
      <c r="N38" s="109">
        <v>0</v>
      </c>
    </row>
    <row r="39" ht="15.75" spans="1:14">
      <c r="A39" s="107" t="s">
        <v>83</v>
      </c>
      <c r="B39" s="108" t="s">
        <v>76</v>
      </c>
      <c r="C39" s="108" t="s">
        <v>84</v>
      </c>
      <c r="D39" s="109">
        <v>0</v>
      </c>
      <c r="E39" s="109">
        <v>0</v>
      </c>
      <c r="F39" s="109">
        <v>0</v>
      </c>
      <c r="G39" s="109">
        <v>0</v>
      </c>
      <c r="H39" s="109">
        <v>0</v>
      </c>
      <c r="I39" s="109">
        <v>0</v>
      </c>
      <c r="J39" s="109">
        <v>0</v>
      </c>
      <c r="K39" s="109">
        <v>0</v>
      </c>
      <c r="L39" s="109">
        <v>0</v>
      </c>
      <c r="M39" s="109">
        <v>0</v>
      </c>
      <c r="N39" s="109">
        <v>0</v>
      </c>
    </row>
    <row r="40" ht="15.75" spans="1:14">
      <c r="A40" s="107" t="s">
        <v>83</v>
      </c>
      <c r="B40" s="108" t="s">
        <v>76</v>
      </c>
      <c r="C40" s="108" t="s">
        <v>85</v>
      </c>
      <c r="D40" s="109">
        <v>3.06</v>
      </c>
      <c r="E40" s="109">
        <v>3.06</v>
      </c>
      <c r="F40" s="109">
        <v>0</v>
      </c>
      <c r="G40" s="109">
        <v>0</v>
      </c>
      <c r="H40" s="109">
        <v>0</v>
      </c>
      <c r="I40" s="109">
        <v>0</v>
      </c>
      <c r="J40" s="109">
        <v>0</v>
      </c>
      <c r="K40" s="109">
        <v>0</v>
      </c>
      <c r="L40" s="109">
        <v>0</v>
      </c>
      <c r="M40" s="109">
        <v>0</v>
      </c>
      <c r="N40" s="109">
        <v>0</v>
      </c>
    </row>
    <row r="41" ht="15.75" spans="1:14">
      <c r="A41" s="107" t="s">
        <v>86</v>
      </c>
      <c r="B41" s="108" t="s">
        <v>76</v>
      </c>
      <c r="C41" s="108" t="s">
        <v>87</v>
      </c>
      <c r="D41" s="109">
        <v>0</v>
      </c>
      <c r="E41" s="109">
        <v>0</v>
      </c>
      <c r="F41" s="109">
        <v>0</v>
      </c>
      <c r="G41" s="109">
        <v>0</v>
      </c>
      <c r="H41" s="109">
        <v>0</v>
      </c>
      <c r="I41" s="109">
        <v>0</v>
      </c>
      <c r="J41" s="109">
        <v>0</v>
      </c>
      <c r="K41" s="109">
        <v>0</v>
      </c>
      <c r="L41" s="109">
        <v>0</v>
      </c>
      <c r="M41" s="109">
        <v>0</v>
      </c>
      <c r="N41" s="109">
        <v>0</v>
      </c>
    </row>
    <row r="42" ht="15.75" spans="1:14">
      <c r="A42" s="107" t="s">
        <v>86</v>
      </c>
      <c r="B42" s="108" t="s">
        <v>76</v>
      </c>
      <c r="C42" s="108" t="s">
        <v>88</v>
      </c>
      <c r="D42" s="109">
        <v>5.51</v>
      </c>
      <c r="E42" s="109">
        <v>5.51</v>
      </c>
      <c r="F42" s="109">
        <v>0</v>
      </c>
      <c r="G42" s="109">
        <v>0</v>
      </c>
      <c r="H42" s="109">
        <v>0</v>
      </c>
      <c r="I42" s="109">
        <v>0</v>
      </c>
      <c r="J42" s="109">
        <v>0</v>
      </c>
      <c r="K42" s="109">
        <v>0</v>
      </c>
      <c r="L42" s="109">
        <v>0</v>
      </c>
      <c r="M42" s="109">
        <v>0</v>
      </c>
      <c r="N42" s="109">
        <v>0</v>
      </c>
    </row>
    <row r="43" ht="15.75" spans="1:14">
      <c r="A43" s="107" t="s">
        <v>89</v>
      </c>
      <c r="B43" s="108" t="s">
        <v>76</v>
      </c>
      <c r="C43" s="108" t="s">
        <v>90</v>
      </c>
      <c r="D43" s="109">
        <v>0</v>
      </c>
      <c r="E43" s="109">
        <v>0</v>
      </c>
      <c r="F43" s="109">
        <v>0</v>
      </c>
      <c r="G43" s="109">
        <v>0</v>
      </c>
      <c r="H43" s="109">
        <v>0</v>
      </c>
      <c r="I43" s="109">
        <v>0</v>
      </c>
      <c r="J43" s="109">
        <v>0</v>
      </c>
      <c r="K43" s="109">
        <v>0</v>
      </c>
      <c r="L43" s="109">
        <v>0</v>
      </c>
      <c r="M43" s="109">
        <v>0</v>
      </c>
      <c r="N43" s="109">
        <v>0</v>
      </c>
    </row>
    <row r="44" ht="15.75" spans="1:14">
      <c r="A44" s="107" t="s">
        <v>89</v>
      </c>
      <c r="B44" s="108" t="s">
        <v>76</v>
      </c>
      <c r="C44" s="108" t="s">
        <v>91</v>
      </c>
      <c r="D44" s="109">
        <v>42.88</v>
      </c>
      <c r="E44" s="109">
        <v>0</v>
      </c>
      <c r="F44" s="109">
        <v>5.36</v>
      </c>
      <c r="G44" s="109">
        <v>5.36</v>
      </c>
      <c r="H44" s="109">
        <v>5.36</v>
      </c>
      <c r="I44" s="109">
        <v>5.36</v>
      </c>
      <c r="J44" s="109">
        <v>0</v>
      </c>
      <c r="K44" s="109">
        <v>5.36</v>
      </c>
      <c r="L44" s="109">
        <v>5.36</v>
      </c>
      <c r="M44" s="109">
        <v>5.36</v>
      </c>
      <c r="N44" s="109">
        <v>5.36</v>
      </c>
    </row>
    <row r="45" ht="15.75" spans="1:14">
      <c r="A45" s="107" t="s">
        <v>89</v>
      </c>
      <c r="B45" s="108" t="s">
        <v>76</v>
      </c>
      <c r="C45" s="108" t="s">
        <v>91</v>
      </c>
      <c r="D45" s="109">
        <v>5.11</v>
      </c>
      <c r="E45" s="109">
        <v>0</v>
      </c>
      <c r="F45" s="109">
        <v>0</v>
      </c>
      <c r="G45" s="109">
        <v>0</v>
      </c>
      <c r="H45" s="109">
        <v>0</v>
      </c>
      <c r="I45" s="109">
        <v>0</v>
      </c>
      <c r="J45" s="109">
        <v>5.11</v>
      </c>
      <c r="K45" s="109">
        <v>0</v>
      </c>
      <c r="L45" s="109">
        <v>0</v>
      </c>
      <c r="M45" s="109">
        <v>0</v>
      </c>
      <c r="N45" s="109">
        <v>0</v>
      </c>
    </row>
    <row r="46" ht="15.75" spans="1:14">
      <c r="A46" s="107" t="s">
        <v>92</v>
      </c>
      <c r="B46" s="108" t="s">
        <v>76</v>
      </c>
      <c r="C46" s="108" t="s">
        <v>84</v>
      </c>
      <c r="D46" s="109">
        <v>0</v>
      </c>
      <c r="E46" s="109">
        <v>0</v>
      </c>
      <c r="F46" s="109">
        <v>0</v>
      </c>
      <c r="G46" s="109">
        <v>0</v>
      </c>
      <c r="H46" s="109">
        <v>0</v>
      </c>
      <c r="I46" s="109">
        <v>0</v>
      </c>
      <c r="J46" s="109">
        <v>0</v>
      </c>
      <c r="K46" s="109">
        <v>0</v>
      </c>
      <c r="L46" s="109">
        <v>0</v>
      </c>
      <c r="M46" s="109">
        <v>0</v>
      </c>
      <c r="N46" s="109">
        <v>0</v>
      </c>
    </row>
    <row r="47" ht="15.75" spans="1:14">
      <c r="A47" s="107" t="s">
        <v>92</v>
      </c>
      <c r="B47" s="108" t="s">
        <v>76</v>
      </c>
      <c r="C47" s="108" t="s">
        <v>93</v>
      </c>
      <c r="D47" s="109">
        <v>19.3</v>
      </c>
      <c r="E47" s="109">
        <v>0</v>
      </c>
      <c r="F47" s="109">
        <v>2.14</v>
      </c>
      <c r="G47" s="109">
        <v>2.14</v>
      </c>
      <c r="H47" s="109">
        <v>2.14</v>
      </c>
      <c r="I47" s="109">
        <v>2.14</v>
      </c>
      <c r="J47" s="109">
        <v>2.14</v>
      </c>
      <c r="K47" s="109">
        <v>2.14</v>
      </c>
      <c r="L47" s="109">
        <v>2.14</v>
      </c>
      <c r="M47" s="109">
        <v>2.14</v>
      </c>
      <c r="N47" s="109">
        <v>2.14</v>
      </c>
    </row>
    <row r="48" ht="15.75" spans="1:14">
      <c r="A48" s="107" t="s">
        <v>94</v>
      </c>
      <c r="B48" s="108" t="s">
        <v>76</v>
      </c>
      <c r="C48" s="108" t="s">
        <v>95</v>
      </c>
      <c r="D48" s="109">
        <v>0</v>
      </c>
      <c r="E48" s="109">
        <v>0</v>
      </c>
      <c r="F48" s="109">
        <v>0</v>
      </c>
      <c r="G48" s="109">
        <v>0</v>
      </c>
      <c r="H48" s="109">
        <v>0</v>
      </c>
      <c r="I48" s="109">
        <v>0</v>
      </c>
      <c r="J48" s="109">
        <v>0</v>
      </c>
      <c r="K48" s="109">
        <v>0</v>
      </c>
      <c r="L48" s="109">
        <v>0</v>
      </c>
      <c r="M48" s="109">
        <v>0</v>
      </c>
      <c r="N48" s="109">
        <v>0</v>
      </c>
    </row>
    <row r="49" ht="15.75" spans="1:14">
      <c r="A49" s="107" t="s">
        <v>94</v>
      </c>
      <c r="B49" s="108" t="s">
        <v>76</v>
      </c>
      <c r="C49" s="108" t="s">
        <v>96</v>
      </c>
      <c r="D49" s="109">
        <v>3.7</v>
      </c>
      <c r="E49" s="109">
        <v>0</v>
      </c>
      <c r="F49" s="109">
        <v>1.85</v>
      </c>
      <c r="G49" s="109">
        <v>0</v>
      </c>
      <c r="H49" s="109">
        <v>0</v>
      </c>
      <c r="I49" s="109">
        <v>0</v>
      </c>
      <c r="J49" s="109">
        <v>0</v>
      </c>
      <c r="K49" s="109">
        <v>1.85</v>
      </c>
      <c r="L49" s="109">
        <v>0</v>
      </c>
      <c r="M49" s="109">
        <v>0</v>
      </c>
      <c r="N49" s="109">
        <v>0</v>
      </c>
    </row>
    <row r="50" ht="15.75" spans="1:14">
      <c r="A50" s="107" t="s">
        <v>94</v>
      </c>
      <c r="B50" s="108" t="s">
        <v>76</v>
      </c>
      <c r="C50" s="108" t="s">
        <v>96</v>
      </c>
      <c r="D50" s="109">
        <v>18.38</v>
      </c>
      <c r="E50" s="109">
        <v>0</v>
      </c>
      <c r="F50" s="109">
        <v>2.04</v>
      </c>
      <c r="G50" s="109">
        <v>2.04</v>
      </c>
      <c r="H50" s="109">
        <v>2.04</v>
      </c>
      <c r="I50" s="109">
        <v>2.04</v>
      </c>
      <c r="J50" s="109">
        <v>4.08</v>
      </c>
      <c r="K50" s="109">
        <v>2.04</v>
      </c>
      <c r="L50" s="109">
        <v>2.04</v>
      </c>
      <c r="M50" s="109">
        <v>0</v>
      </c>
      <c r="N50" s="109">
        <v>2.04</v>
      </c>
    </row>
    <row r="51" ht="15.75" spans="1:14">
      <c r="A51" s="107" t="s">
        <v>94</v>
      </c>
      <c r="B51" s="108" t="s">
        <v>76</v>
      </c>
      <c r="C51" s="108" t="s">
        <v>96</v>
      </c>
      <c r="D51" s="109">
        <v>2.19</v>
      </c>
      <c r="E51" s="109">
        <v>0</v>
      </c>
      <c r="F51" s="109">
        <v>0</v>
      </c>
      <c r="G51" s="109">
        <v>0</v>
      </c>
      <c r="H51" s="109">
        <v>0</v>
      </c>
      <c r="I51" s="109">
        <v>0</v>
      </c>
      <c r="J51" s="109">
        <v>0</v>
      </c>
      <c r="K51" s="109">
        <v>0</v>
      </c>
      <c r="L51" s="109">
        <v>0</v>
      </c>
      <c r="M51" s="109">
        <v>0</v>
      </c>
      <c r="N51" s="109">
        <v>2.19</v>
      </c>
    </row>
    <row r="52" ht="15.75" spans="1:14">
      <c r="A52" s="107" t="s">
        <v>94</v>
      </c>
      <c r="B52" s="108" t="s">
        <v>76</v>
      </c>
      <c r="C52" s="108" t="s">
        <v>96</v>
      </c>
      <c r="D52" s="109">
        <v>8.08</v>
      </c>
      <c r="E52" s="109">
        <v>0</v>
      </c>
      <c r="F52" s="109">
        <v>0</v>
      </c>
      <c r="G52" s="109">
        <v>2.69</v>
      </c>
      <c r="H52" s="109">
        <v>0</v>
      </c>
      <c r="I52" s="109">
        <v>2.69</v>
      </c>
      <c r="J52" s="109">
        <v>0</v>
      </c>
      <c r="K52" s="109">
        <v>2.69</v>
      </c>
      <c r="L52" s="109">
        <v>0</v>
      </c>
      <c r="M52" s="109">
        <v>0</v>
      </c>
      <c r="N52" s="109">
        <v>0</v>
      </c>
    </row>
    <row r="53" ht="15.75" spans="1:14">
      <c r="A53" s="107" t="s">
        <v>94</v>
      </c>
      <c r="B53" s="108" t="s">
        <v>76</v>
      </c>
      <c r="C53" s="108" t="s">
        <v>96</v>
      </c>
      <c r="D53" s="109">
        <v>3.89</v>
      </c>
      <c r="E53" s="109">
        <v>0</v>
      </c>
      <c r="F53" s="109">
        <v>0</v>
      </c>
      <c r="G53" s="109">
        <v>0</v>
      </c>
      <c r="H53" s="109">
        <v>0</v>
      </c>
      <c r="I53" s="109">
        <v>0</v>
      </c>
      <c r="J53" s="109">
        <v>1.94</v>
      </c>
      <c r="K53" s="109">
        <v>1.94</v>
      </c>
      <c r="L53" s="109">
        <v>0</v>
      </c>
      <c r="M53" s="109">
        <v>0</v>
      </c>
      <c r="N53" s="109">
        <v>0</v>
      </c>
    </row>
    <row r="54" ht="15.75" spans="1:14">
      <c r="A54" s="107" t="s">
        <v>94</v>
      </c>
      <c r="B54" s="108" t="s">
        <v>76</v>
      </c>
      <c r="C54" s="108" t="s">
        <v>96</v>
      </c>
      <c r="D54" s="109">
        <v>2.3</v>
      </c>
      <c r="E54" s="109">
        <v>0</v>
      </c>
      <c r="F54" s="109">
        <v>0</v>
      </c>
      <c r="G54" s="109">
        <v>0</v>
      </c>
      <c r="H54" s="109">
        <v>0</v>
      </c>
      <c r="I54" s="109">
        <v>0</v>
      </c>
      <c r="J54" s="109">
        <v>0</v>
      </c>
      <c r="K54" s="109">
        <v>0</v>
      </c>
      <c r="L54" s="109">
        <v>0</v>
      </c>
      <c r="M54" s="109">
        <v>2.3</v>
      </c>
      <c r="N54" s="109">
        <v>0</v>
      </c>
    </row>
    <row r="55" ht="15.75" spans="1:14">
      <c r="A55" s="107" t="s">
        <v>94</v>
      </c>
      <c r="B55" s="108" t="s">
        <v>76</v>
      </c>
      <c r="C55" s="108" t="s">
        <v>96</v>
      </c>
      <c r="D55" s="109">
        <v>4.42</v>
      </c>
      <c r="E55" s="109">
        <v>0</v>
      </c>
      <c r="F55" s="109">
        <v>0</v>
      </c>
      <c r="G55" s="109">
        <v>0</v>
      </c>
      <c r="H55" s="109">
        <v>0</v>
      </c>
      <c r="I55" s="109">
        <v>0</v>
      </c>
      <c r="J55" s="109">
        <v>0</v>
      </c>
      <c r="K55" s="109">
        <v>0</v>
      </c>
      <c r="L55" s="109">
        <v>2.21</v>
      </c>
      <c r="M55" s="109">
        <v>2.21</v>
      </c>
      <c r="N55" s="109">
        <v>0</v>
      </c>
    </row>
    <row r="56" ht="15.75" spans="1:14">
      <c r="A56" s="107" t="s">
        <v>94</v>
      </c>
      <c r="B56" s="108" t="s">
        <v>76</v>
      </c>
      <c r="C56" s="108" t="s">
        <v>96</v>
      </c>
      <c r="D56" s="109">
        <v>4.47</v>
      </c>
      <c r="E56" s="109">
        <v>0</v>
      </c>
      <c r="F56" s="109">
        <v>0</v>
      </c>
      <c r="G56" s="109">
        <v>0</v>
      </c>
      <c r="H56" s="109">
        <v>4.47</v>
      </c>
      <c r="I56" s="109">
        <v>0</v>
      </c>
      <c r="J56" s="109">
        <v>0</v>
      </c>
      <c r="K56" s="109">
        <v>0</v>
      </c>
      <c r="L56" s="109">
        <v>0</v>
      </c>
      <c r="M56" s="109">
        <v>0</v>
      </c>
      <c r="N56" s="109">
        <v>0</v>
      </c>
    </row>
    <row r="57" ht="15.75" spans="1:14">
      <c r="A57" s="107" t="s">
        <v>97</v>
      </c>
      <c r="B57" s="108"/>
      <c r="C57" s="108" t="s">
        <v>97</v>
      </c>
      <c r="D57" s="109">
        <v>867.11</v>
      </c>
      <c r="E57" s="109">
        <v>401.52</v>
      </c>
      <c r="F57" s="109">
        <v>39.27</v>
      </c>
      <c r="G57" s="109">
        <v>35.81</v>
      </c>
      <c r="H57" s="109">
        <v>36.9</v>
      </c>
      <c r="I57" s="109">
        <v>34.61</v>
      </c>
      <c r="J57" s="109">
        <v>66.36</v>
      </c>
      <c r="K57" s="109">
        <v>120.44</v>
      </c>
      <c r="L57" s="109">
        <v>55.68</v>
      </c>
      <c r="M57" s="109">
        <v>47.12</v>
      </c>
      <c r="N57" s="109">
        <v>29.36</v>
      </c>
    </row>
  </sheetData>
  <mergeCells count="14">
    <mergeCell ref="A1:N1"/>
    <mergeCell ref="A11:A12"/>
    <mergeCell ref="B11:B12"/>
    <mergeCell ref="D11:D12"/>
    <mergeCell ref="E11:E12"/>
    <mergeCell ref="F11:F12"/>
    <mergeCell ref="G11:G12"/>
    <mergeCell ref="H11:H12"/>
    <mergeCell ref="I11:I12"/>
    <mergeCell ref="J11:J12"/>
    <mergeCell ref="K11:K12"/>
    <mergeCell ref="L11:L12"/>
    <mergeCell ref="M11:M12"/>
    <mergeCell ref="N11:N12"/>
  </mergeCell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15"/>
  <sheetViews>
    <sheetView view="pageBreakPreview" zoomScale="60" zoomScaleNormal="70" zoomScaleSheetLayoutView="60" workbookViewId="0">
      <selection activeCell="F2" sqref="F2:W2"/>
    </sheetView>
  </sheetViews>
  <sheetFormatPr defaultColWidth="9.14285714285714" defaultRowHeight="15"/>
  <cols>
    <col min="1" max="12" width="9.14285714285714" style="15"/>
    <col min="13" max="13" width="10.1428571428571" style="15" customWidth="1"/>
    <col min="14" max="16384" width="9.14285714285714" style="15"/>
  </cols>
  <sheetData>
    <row r="1" spans="1:1">
      <c r="A1" s="15" t="s">
        <v>210</v>
      </c>
    </row>
    <row r="2" ht="42.75" spans="1:24">
      <c r="A2" s="16" t="s">
        <v>211</v>
      </c>
      <c r="B2" s="17" t="s">
        <v>212</v>
      </c>
      <c r="C2" s="17" t="s">
        <v>213</v>
      </c>
      <c r="D2" s="18" t="s">
        <v>5</v>
      </c>
      <c r="E2" s="18" t="s">
        <v>214</v>
      </c>
      <c r="F2" s="18" t="s">
        <v>6</v>
      </c>
      <c r="G2" s="18" t="s">
        <v>214</v>
      </c>
      <c r="H2" s="18" t="s">
        <v>7</v>
      </c>
      <c r="I2" s="18" t="s">
        <v>214</v>
      </c>
      <c r="J2" s="18" t="s">
        <v>8</v>
      </c>
      <c r="K2" s="18" t="s">
        <v>214</v>
      </c>
      <c r="L2" s="18" t="s">
        <v>9</v>
      </c>
      <c r="M2" s="18" t="s">
        <v>214</v>
      </c>
      <c r="N2" s="18" t="s">
        <v>10</v>
      </c>
      <c r="O2" s="18" t="s">
        <v>214</v>
      </c>
      <c r="P2" s="18" t="s">
        <v>11</v>
      </c>
      <c r="Q2" s="18" t="s">
        <v>214</v>
      </c>
      <c r="R2" s="18" t="s">
        <v>12</v>
      </c>
      <c r="S2" s="18" t="s">
        <v>214</v>
      </c>
      <c r="T2" s="18" t="s">
        <v>13</v>
      </c>
      <c r="U2" s="18" t="s">
        <v>214</v>
      </c>
      <c r="V2" s="18" t="s">
        <v>14</v>
      </c>
      <c r="W2" s="18" t="s">
        <v>215</v>
      </c>
      <c r="X2" s="18" t="s">
        <v>107</v>
      </c>
    </row>
    <row r="3" ht="16.5" spans="1:24">
      <c r="A3" s="19" t="s">
        <v>243</v>
      </c>
      <c r="B3" s="20">
        <v>37000</v>
      </c>
      <c r="C3" s="21">
        <v>1</v>
      </c>
      <c r="D3" s="22"/>
      <c r="E3" s="22"/>
      <c r="F3" s="22">
        <v>1</v>
      </c>
      <c r="G3" s="22">
        <f>F3*B3*C3</f>
        <v>37000</v>
      </c>
      <c r="H3" s="22">
        <v>1</v>
      </c>
      <c r="I3" s="22">
        <f>PRODUCT(B3,C3,H3)</f>
        <v>37000</v>
      </c>
      <c r="J3" s="22">
        <v>1</v>
      </c>
      <c r="K3" s="22">
        <f>PRODUCT(B3,C3,J3)</f>
        <v>37000</v>
      </c>
      <c r="L3" s="22">
        <v>1</v>
      </c>
      <c r="M3" s="22">
        <f>PRODUCT(B3,C3,L3)</f>
        <v>37000</v>
      </c>
      <c r="N3" s="22">
        <v>1</v>
      </c>
      <c r="O3" s="22">
        <f>PRODUCT(B3,C3,N3)</f>
        <v>37000</v>
      </c>
      <c r="P3" s="22">
        <v>1</v>
      </c>
      <c r="Q3" s="22">
        <f>PRODUCT(B3,C3,P3)</f>
        <v>37000</v>
      </c>
      <c r="R3" s="22">
        <v>1</v>
      </c>
      <c r="S3" s="22">
        <f>PRODUCT(B3,C3,R3)</f>
        <v>37000</v>
      </c>
      <c r="T3" s="22">
        <v>1</v>
      </c>
      <c r="U3" s="22">
        <f>PRODUCT(B3,C3,T3)</f>
        <v>37000</v>
      </c>
      <c r="V3" s="22">
        <v>1</v>
      </c>
      <c r="W3" s="22">
        <f>PRODUCT(B3,C3,V3)</f>
        <v>37000</v>
      </c>
      <c r="X3" s="22"/>
    </row>
    <row r="4" ht="33" spans="1:24">
      <c r="A4" s="19" t="s">
        <v>244</v>
      </c>
      <c r="B4" s="20">
        <v>23480</v>
      </c>
      <c r="C4" s="21">
        <v>1</v>
      </c>
      <c r="D4" s="22"/>
      <c r="E4" s="22"/>
      <c r="F4" s="22">
        <v>2</v>
      </c>
      <c r="G4" s="22">
        <f>F4*B4*C4</f>
        <v>46960</v>
      </c>
      <c r="H4" s="22">
        <v>2</v>
      </c>
      <c r="I4" s="22">
        <f>PRODUCT(B4,C4,H4)</f>
        <v>46960</v>
      </c>
      <c r="J4" s="22">
        <v>1</v>
      </c>
      <c r="K4" s="22">
        <f>PRODUCT(B4,C4,J4)</f>
        <v>23480</v>
      </c>
      <c r="L4" s="22">
        <v>1</v>
      </c>
      <c r="M4" s="22">
        <f>PRODUCT(B4,C4,L4)</f>
        <v>23480</v>
      </c>
      <c r="N4" s="22">
        <v>1</v>
      </c>
      <c r="O4" s="22">
        <f>PRODUCT(B4,C4,N4)</f>
        <v>23480</v>
      </c>
      <c r="P4" s="22">
        <v>2</v>
      </c>
      <c r="Q4" s="22">
        <f>PRODUCT(B4,C4,P4)</f>
        <v>46960</v>
      </c>
      <c r="R4" s="22">
        <v>1</v>
      </c>
      <c r="S4" s="22">
        <f>PRODUCT(B4,C4,R4)</f>
        <v>23480</v>
      </c>
      <c r="T4" s="22">
        <v>1</v>
      </c>
      <c r="U4" s="22">
        <f>PRODUCT(B4,C4,T4)</f>
        <v>23480</v>
      </c>
      <c r="V4" s="22">
        <v>1</v>
      </c>
      <c r="W4" s="22">
        <f>PRODUCT(B4,C4,V4)</f>
        <v>23480</v>
      </c>
      <c r="X4" s="22"/>
    </row>
    <row r="5" ht="33" spans="1:24">
      <c r="A5" s="19" t="s">
        <v>242</v>
      </c>
      <c r="B5" s="20">
        <v>1000</v>
      </c>
      <c r="C5" s="21">
        <v>2</v>
      </c>
      <c r="D5" s="22"/>
      <c r="E5" s="22"/>
      <c r="F5" s="22">
        <v>2</v>
      </c>
      <c r="G5" s="22">
        <f t="shared" ref="G5" si="0">F5*B5*C5</f>
        <v>4000</v>
      </c>
      <c r="H5" s="22">
        <v>2</v>
      </c>
      <c r="I5" s="22">
        <f t="shared" ref="I5" si="1">PRODUCT(B5,C5,H5)</f>
        <v>4000</v>
      </c>
      <c r="J5" s="22">
        <v>3</v>
      </c>
      <c r="K5" s="22">
        <f t="shared" ref="K5" si="2">PRODUCT(B5,C5,J5)</f>
        <v>6000</v>
      </c>
      <c r="L5" s="22">
        <v>2</v>
      </c>
      <c r="M5" s="22">
        <f t="shared" ref="M5" si="3">PRODUCT(B5,C5,L5)</f>
        <v>4000</v>
      </c>
      <c r="N5" s="22">
        <v>4</v>
      </c>
      <c r="O5" s="22">
        <f t="shared" ref="O5" si="4">PRODUCT(B5,C5,N5)</f>
        <v>8000</v>
      </c>
      <c r="P5" s="22">
        <v>3</v>
      </c>
      <c r="Q5" s="22">
        <f t="shared" ref="Q5" si="5">PRODUCT(B5,C5,P5)</f>
        <v>6000</v>
      </c>
      <c r="R5" s="22">
        <v>2</v>
      </c>
      <c r="S5" s="22">
        <f t="shared" ref="S5" si="6">PRODUCT(B5,C5,R5)</f>
        <v>4000</v>
      </c>
      <c r="T5" s="22">
        <v>2</v>
      </c>
      <c r="U5" s="22">
        <f t="shared" ref="U5" si="7">PRODUCT(B5,C5,T5)</f>
        <v>4000</v>
      </c>
      <c r="V5" s="22">
        <v>2</v>
      </c>
      <c r="W5" s="22">
        <f t="shared" ref="W5" si="8">PRODUCT(B5,C5,V5)</f>
        <v>4000</v>
      </c>
      <c r="X5" s="22"/>
    </row>
    <row r="6" ht="16.5" spans="1:25">
      <c r="A6" s="19" t="s">
        <v>107</v>
      </c>
      <c r="B6" s="20"/>
      <c r="C6" s="21"/>
      <c r="D6" s="22"/>
      <c r="E6" s="22"/>
      <c r="F6" s="22"/>
      <c r="G6" s="22">
        <f>SUM(G3:G5)/100000</f>
        <v>0.8796</v>
      </c>
      <c r="H6" s="22"/>
      <c r="I6" s="22">
        <f>SUM(I3:I5)/100000</f>
        <v>0.8796</v>
      </c>
      <c r="J6" s="22"/>
      <c r="K6" s="22">
        <f>SUM(K3:K5)/100000</f>
        <v>0.6648</v>
      </c>
      <c r="L6" s="22"/>
      <c r="M6" s="22">
        <f>SUM(M3:M5)/100000</f>
        <v>0.6448</v>
      </c>
      <c r="N6" s="22"/>
      <c r="O6" s="22">
        <f>SUM(O3:O5)/100000</f>
        <v>0.6848</v>
      </c>
      <c r="P6" s="22"/>
      <c r="Q6" s="22">
        <f>SUM(Q3:Q5)/100000</f>
        <v>0.8996</v>
      </c>
      <c r="R6" s="22"/>
      <c r="S6" s="22">
        <f>SUM(S3:S5)/100000</f>
        <v>0.6448</v>
      </c>
      <c r="T6" s="22"/>
      <c r="U6" s="22">
        <f>SUM(U3:U5)/100000</f>
        <v>0.6448</v>
      </c>
      <c r="V6" s="22"/>
      <c r="W6" s="22">
        <f>SUM(W3:W5)/100000</f>
        <v>0.6448</v>
      </c>
      <c r="X6" s="22">
        <f>SUM(G6:W6)</f>
        <v>6.5876</v>
      </c>
      <c r="Y6" s="15">
        <f>X6-C6</f>
        <v>6.5876</v>
      </c>
    </row>
    <row r="7" ht="16.5" spans="1:24">
      <c r="A7" s="19"/>
      <c r="B7" s="20"/>
      <c r="C7" s="21"/>
      <c r="D7" s="22"/>
      <c r="E7" s="22"/>
      <c r="F7" s="22"/>
      <c r="G7" s="22"/>
      <c r="H7" s="22"/>
      <c r="I7" s="22"/>
      <c r="J7" s="22"/>
      <c r="K7" s="22"/>
      <c r="L7" s="22"/>
      <c r="M7" s="22"/>
      <c r="N7" s="22"/>
      <c r="O7" s="22"/>
      <c r="P7" s="22"/>
      <c r="Q7" s="22"/>
      <c r="R7" s="22"/>
      <c r="S7" s="22"/>
      <c r="T7" s="22"/>
      <c r="U7" s="22"/>
      <c r="V7" s="22"/>
      <c r="W7" s="22"/>
      <c r="X7" s="22"/>
    </row>
    <row r="8" ht="31.5" customHeight="1" spans="1:25">
      <c r="A8" s="19"/>
      <c r="B8" s="20"/>
      <c r="C8" s="21"/>
      <c r="D8" s="22"/>
      <c r="E8" s="22"/>
      <c r="F8" s="22"/>
      <c r="G8" s="22"/>
      <c r="H8" s="22"/>
      <c r="I8" s="22"/>
      <c r="J8" s="22"/>
      <c r="K8" s="22"/>
      <c r="L8" s="22"/>
      <c r="M8" s="22"/>
      <c r="N8" s="22"/>
      <c r="O8" s="22"/>
      <c r="P8" s="22"/>
      <c r="Q8" s="22"/>
      <c r="R8" s="22"/>
      <c r="S8" s="22"/>
      <c r="T8" s="22"/>
      <c r="U8" s="22"/>
      <c r="V8" s="22"/>
      <c r="W8" s="22"/>
      <c r="X8" s="22"/>
      <c r="Y8" s="15">
        <f>X8-C8</f>
        <v>0</v>
      </c>
    </row>
    <row r="9" ht="16.5" spans="1:24">
      <c r="A9" s="19"/>
      <c r="B9" s="20"/>
      <c r="C9" s="21"/>
      <c r="D9" s="22"/>
      <c r="E9" s="22"/>
      <c r="F9" s="22"/>
      <c r="G9" s="22"/>
      <c r="H9" s="22"/>
      <c r="I9" s="22"/>
      <c r="J9" s="22"/>
      <c r="K9" s="22"/>
      <c r="L9" s="22"/>
      <c r="M9" s="22"/>
      <c r="N9" s="22"/>
      <c r="O9" s="22"/>
      <c r="P9" s="22"/>
      <c r="Q9" s="22"/>
      <c r="R9" s="22"/>
      <c r="S9" s="22"/>
      <c r="T9" s="22"/>
      <c r="U9" s="22"/>
      <c r="V9" s="22"/>
      <c r="W9" s="22"/>
      <c r="X9" s="22"/>
    </row>
    <row r="10" ht="16.5" spans="1:24">
      <c r="A10" s="19"/>
      <c r="B10" s="20"/>
      <c r="C10" s="21"/>
      <c r="D10" s="22"/>
      <c r="E10" s="22"/>
      <c r="F10" s="22"/>
      <c r="G10" s="22"/>
      <c r="H10" s="22"/>
      <c r="I10" s="22"/>
      <c r="J10" s="22"/>
      <c r="K10" s="22"/>
      <c r="L10" s="22"/>
      <c r="M10" s="22"/>
      <c r="N10" s="22"/>
      <c r="O10" s="22"/>
      <c r="P10" s="22"/>
      <c r="Q10" s="22"/>
      <c r="R10" s="22"/>
      <c r="S10" s="22"/>
      <c r="T10" s="22"/>
      <c r="U10" s="22"/>
      <c r="V10" s="22"/>
      <c r="W10" s="22"/>
      <c r="X10" s="22"/>
    </row>
    <row r="11" ht="16.5" spans="1:24">
      <c r="A11" s="19"/>
      <c r="B11" s="20"/>
      <c r="C11" s="21"/>
      <c r="D11" s="22"/>
      <c r="E11" s="22"/>
      <c r="F11" s="22"/>
      <c r="G11" s="22"/>
      <c r="H11" s="22"/>
      <c r="I11" s="22"/>
      <c r="J11" s="22"/>
      <c r="K11" s="22"/>
      <c r="L11" s="22"/>
      <c r="M11" s="22"/>
      <c r="N11" s="22"/>
      <c r="O11" s="22"/>
      <c r="P11" s="22"/>
      <c r="Q11" s="22"/>
      <c r="R11" s="22"/>
      <c r="S11" s="22"/>
      <c r="T11" s="22"/>
      <c r="U11" s="22"/>
      <c r="V11" s="22"/>
      <c r="W11" s="22"/>
      <c r="X11" s="22"/>
    </row>
    <row r="12" spans="1:24">
      <c r="A12" s="23"/>
      <c r="B12" s="24"/>
      <c r="C12" s="24"/>
      <c r="D12" s="22"/>
      <c r="E12" s="22"/>
      <c r="F12" s="22"/>
      <c r="G12" s="22"/>
      <c r="H12" s="22"/>
      <c r="I12" s="22"/>
      <c r="J12" s="22"/>
      <c r="K12" s="22"/>
      <c r="L12" s="22"/>
      <c r="M12" s="22"/>
      <c r="N12" s="22"/>
      <c r="O12" s="22"/>
      <c r="P12" s="22"/>
      <c r="Q12" s="22"/>
      <c r="R12" s="22"/>
      <c r="S12" s="22"/>
      <c r="T12" s="22"/>
      <c r="U12" s="22"/>
      <c r="V12" s="22"/>
      <c r="W12" s="22"/>
      <c r="X12" s="22"/>
    </row>
    <row r="13" spans="1:24">
      <c r="A13" s="23"/>
      <c r="B13" s="24"/>
      <c r="C13" s="24"/>
      <c r="D13" s="22"/>
      <c r="E13" s="22"/>
      <c r="F13" s="22"/>
      <c r="G13" s="22"/>
      <c r="H13" s="22"/>
      <c r="I13" s="22"/>
      <c r="J13" s="22"/>
      <c r="K13" s="22"/>
      <c r="L13" s="22"/>
      <c r="M13" s="22"/>
      <c r="N13" s="22"/>
      <c r="O13" s="22"/>
      <c r="P13" s="22"/>
      <c r="Q13" s="22"/>
      <c r="R13" s="22"/>
      <c r="S13" s="22"/>
      <c r="T13" s="22"/>
      <c r="U13" s="22"/>
      <c r="V13" s="22"/>
      <c r="W13" s="22"/>
      <c r="X13" s="22"/>
    </row>
    <row r="14" spans="1:24">
      <c r="A14" s="23"/>
      <c r="B14" s="24"/>
      <c r="C14" s="24"/>
      <c r="D14" s="22"/>
      <c r="E14" s="22"/>
      <c r="F14" s="22"/>
      <c r="G14" s="22"/>
      <c r="H14" s="22"/>
      <c r="I14" s="22"/>
      <c r="J14" s="22"/>
      <c r="K14" s="22"/>
      <c r="L14" s="22"/>
      <c r="M14" s="22"/>
      <c r="N14" s="22"/>
      <c r="O14" s="22"/>
      <c r="P14" s="22"/>
      <c r="Q14" s="22"/>
      <c r="R14" s="22"/>
      <c r="S14" s="22"/>
      <c r="T14" s="22"/>
      <c r="U14" s="22"/>
      <c r="V14" s="22"/>
      <c r="W14" s="22"/>
      <c r="X14" s="22"/>
    </row>
    <row r="15" spans="1:24">
      <c r="A15" s="25"/>
      <c r="B15" s="25"/>
      <c r="C15" s="25"/>
      <c r="D15" s="25"/>
      <c r="E15" s="25"/>
      <c r="F15" s="25"/>
      <c r="G15" s="25"/>
      <c r="H15" s="25"/>
      <c r="I15" s="25"/>
      <c r="J15" s="25"/>
      <c r="K15" s="25"/>
      <c r="L15" s="25"/>
      <c r="M15" s="25"/>
      <c r="N15" s="25"/>
      <c r="O15" s="25"/>
      <c r="P15" s="25"/>
      <c r="Q15" s="25"/>
      <c r="R15" s="25"/>
      <c r="S15" s="25"/>
      <c r="T15" s="25"/>
      <c r="U15" s="25"/>
      <c r="V15" s="25"/>
      <c r="W15" s="25"/>
      <c r="X15" s="25"/>
    </row>
  </sheetData>
  <pageMargins left="0.7" right="0.7" top="0.75" bottom="0.75" header="0.3" footer="0.3"/>
  <pageSetup paperSize="9" scale="59" orientation="landscape"/>
  <headerFooter/>
  <colBreaks count="1" manualBreakCount="1">
    <brk id="24" max="1048575" man="1"/>
  </col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4"/>
  <sheetViews>
    <sheetView workbookViewId="0">
      <selection activeCell="O14" sqref="O14:O23"/>
    </sheetView>
  </sheetViews>
  <sheetFormatPr defaultColWidth="9" defaultRowHeight="15"/>
  <cols>
    <col min="1" max="1" width="8.85714285714286" style="1" customWidth="1"/>
    <col min="14" max="14" width="10.5714285714286" customWidth="1"/>
  </cols>
  <sheetData>
    <row r="1" ht="19.5" customHeight="1" spans="1:11">
      <c r="A1" s="2" t="s">
        <v>245</v>
      </c>
      <c r="B1" s="2"/>
      <c r="C1" s="2"/>
      <c r="D1" s="2"/>
      <c r="E1" s="2"/>
      <c r="F1" s="2"/>
      <c r="G1" s="2"/>
      <c r="H1" s="2"/>
      <c r="I1" s="2"/>
      <c r="J1" s="2"/>
      <c r="K1" s="2"/>
    </row>
    <row r="2" spans="1:14">
      <c r="A2" s="3" t="s">
        <v>246</v>
      </c>
      <c r="B2" s="4" t="s">
        <v>247</v>
      </c>
      <c r="C2" s="4" t="s">
        <v>248</v>
      </c>
      <c r="D2" s="4" t="s">
        <v>249</v>
      </c>
      <c r="E2" s="4" t="s">
        <v>250</v>
      </c>
      <c r="F2" s="4" t="s">
        <v>251</v>
      </c>
      <c r="G2" s="4" t="s">
        <v>252</v>
      </c>
      <c r="H2" s="4" t="s">
        <v>253</v>
      </c>
      <c r="I2" s="4" t="s">
        <v>254</v>
      </c>
      <c r="J2" s="4" t="s">
        <v>255</v>
      </c>
      <c r="K2" s="4" t="s">
        <v>256</v>
      </c>
      <c r="L2" s="11" t="s">
        <v>257</v>
      </c>
      <c r="M2" s="11" t="s">
        <v>258</v>
      </c>
      <c r="N2" s="11" t="s">
        <v>214</v>
      </c>
    </row>
    <row r="3" ht="31.5" spans="1:14">
      <c r="A3" s="5" t="s">
        <v>6</v>
      </c>
      <c r="B3" s="6">
        <v>787</v>
      </c>
      <c r="C3" s="7">
        <v>873</v>
      </c>
      <c r="D3" s="7">
        <v>941</v>
      </c>
      <c r="E3" s="7">
        <v>1052</v>
      </c>
      <c r="F3" s="6">
        <v>1060</v>
      </c>
      <c r="G3" s="7">
        <v>1554</v>
      </c>
      <c r="H3" s="7">
        <v>2423</v>
      </c>
      <c r="I3" s="6">
        <v>2886</v>
      </c>
      <c r="J3" s="7">
        <v>2552</v>
      </c>
      <c r="K3" s="7">
        <v>2270</v>
      </c>
      <c r="L3" s="4">
        <f>SUM(B3:K3)</f>
        <v>16398</v>
      </c>
      <c r="M3" s="4">
        <f>L3/74913%</f>
        <v>21.8893916943655</v>
      </c>
      <c r="N3" s="12">
        <f>1084920*M3%</f>
        <v>237482.38837051</v>
      </c>
    </row>
    <row r="4" ht="31.5" spans="1:14">
      <c r="A4" s="5" t="s">
        <v>7</v>
      </c>
      <c r="B4" s="6">
        <v>419</v>
      </c>
      <c r="C4" s="7">
        <v>351</v>
      </c>
      <c r="D4" s="7">
        <v>314</v>
      </c>
      <c r="E4" s="7">
        <v>322</v>
      </c>
      <c r="F4" s="6">
        <v>391</v>
      </c>
      <c r="G4" s="7">
        <v>445</v>
      </c>
      <c r="H4" s="7">
        <v>609</v>
      </c>
      <c r="I4" s="6">
        <v>719</v>
      </c>
      <c r="J4" s="7">
        <v>650</v>
      </c>
      <c r="K4" s="7">
        <v>669</v>
      </c>
      <c r="L4" s="4">
        <f t="shared" ref="L4:L11" si="0">SUM(B4:K4)</f>
        <v>4889</v>
      </c>
      <c r="M4" s="4">
        <f t="shared" ref="M4:M11" si="1">L4/74913%</f>
        <v>6.52623710170464</v>
      </c>
      <c r="N4" s="12">
        <f t="shared" ref="N4:N11" si="2">1084920*M4%</f>
        <v>70804.451563814</v>
      </c>
    </row>
    <row r="5" ht="15.75" spans="1:14">
      <c r="A5" s="5" t="s">
        <v>11</v>
      </c>
      <c r="B5" s="6">
        <v>298</v>
      </c>
      <c r="C5" s="7">
        <v>273</v>
      </c>
      <c r="D5" s="7">
        <v>306</v>
      </c>
      <c r="E5" s="7">
        <v>299</v>
      </c>
      <c r="F5" s="6">
        <v>496</v>
      </c>
      <c r="G5" s="7">
        <v>740</v>
      </c>
      <c r="H5" s="7">
        <v>980</v>
      </c>
      <c r="I5" s="6">
        <v>1322</v>
      </c>
      <c r="J5" s="7">
        <v>1009</v>
      </c>
      <c r="K5" s="7">
        <v>707</v>
      </c>
      <c r="L5" s="4">
        <f t="shared" si="0"/>
        <v>6430</v>
      </c>
      <c r="M5" s="4">
        <f t="shared" si="1"/>
        <v>8.58328994967496</v>
      </c>
      <c r="N5" s="12">
        <f t="shared" si="2"/>
        <v>93121.8293220135</v>
      </c>
    </row>
    <row r="6" ht="15.75" spans="1:14">
      <c r="A6" s="5" t="s">
        <v>13</v>
      </c>
      <c r="B6" s="6">
        <v>373</v>
      </c>
      <c r="C6" s="7">
        <v>367</v>
      </c>
      <c r="D6" s="7">
        <v>284</v>
      </c>
      <c r="E6" s="7">
        <v>345</v>
      </c>
      <c r="F6" s="6">
        <v>271</v>
      </c>
      <c r="G6" s="7">
        <v>824</v>
      </c>
      <c r="H6" s="7">
        <v>608</v>
      </c>
      <c r="I6" s="6">
        <v>738</v>
      </c>
      <c r="J6" s="7">
        <v>636</v>
      </c>
      <c r="K6" s="7">
        <v>603</v>
      </c>
      <c r="L6" s="4">
        <f t="shared" si="0"/>
        <v>5049</v>
      </c>
      <c r="M6" s="4">
        <f t="shared" si="1"/>
        <v>6.73981818909936</v>
      </c>
      <c r="N6" s="12">
        <f t="shared" si="2"/>
        <v>73121.6354971767</v>
      </c>
    </row>
    <row r="7" ht="15.75" spans="1:14">
      <c r="A7" s="8" t="s">
        <v>9</v>
      </c>
      <c r="B7" s="6">
        <v>581</v>
      </c>
      <c r="C7" s="7">
        <v>648</v>
      </c>
      <c r="D7" s="7">
        <v>569</v>
      </c>
      <c r="E7" s="7">
        <v>635</v>
      </c>
      <c r="F7" s="6">
        <v>740</v>
      </c>
      <c r="G7" s="7">
        <v>1028</v>
      </c>
      <c r="H7" s="7">
        <v>1470</v>
      </c>
      <c r="I7" s="6">
        <v>1303</v>
      </c>
      <c r="J7" s="7">
        <v>1025</v>
      </c>
      <c r="K7" s="7">
        <v>832</v>
      </c>
      <c r="L7" s="4">
        <f t="shared" si="0"/>
        <v>8831</v>
      </c>
      <c r="M7" s="4">
        <f t="shared" si="1"/>
        <v>11.7883411423918</v>
      </c>
      <c r="N7" s="12">
        <f t="shared" si="2"/>
        <v>127894.070722038</v>
      </c>
    </row>
    <row r="8" ht="15.75" spans="1:14">
      <c r="A8" s="5" t="s">
        <v>12</v>
      </c>
      <c r="B8" s="6">
        <v>353</v>
      </c>
      <c r="C8" s="7">
        <v>229</v>
      </c>
      <c r="D8" s="7">
        <v>389</v>
      </c>
      <c r="E8" s="7">
        <v>366</v>
      </c>
      <c r="F8" s="6">
        <v>459</v>
      </c>
      <c r="G8" s="7">
        <v>874</v>
      </c>
      <c r="H8" s="7">
        <v>1335</v>
      </c>
      <c r="I8" s="6">
        <v>1507</v>
      </c>
      <c r="J8" s="7">
        <v>1737</v>
      </c>
      <c r="K8" s="7">
        <v>1499</v>
      </c>
      <c r="L8" s="4">
        <f t="shared" si="0"/>
        <v>8748</v>
      </c>
      <c r="M8" s="4">
        <f t="shared" si="1"/>
        <v>11.6775459533058</v>
      </c>
      <c r="N8" s="12">
        <f t="shared" si="2"/>
        <v>126692.031556606</v>
      </c>
    </row>
    <row r="9" ht="31.5" spans="1:14">
      <c r="A9" s="5" t="s">
        <v>8</v>
      </c>
      <c r="B9" s="6">
        <v>347</v>
      </c>
      <c r="C9" s="7">
        <v>380</v>
      </c>
      <c r="D9" s="7">
        <v>294</v>
      </c>
      <c r="E9" s="7">
        <v>473</v>
      </c>
      <c r="F9" s="6">
        <v>618</v>
      </c>
      <c r="G9" s="7">
        <v>454</v>
      </c>
      <c r="H9" s="7">
        <v>939</v>
      </c>
      <c r="I9" s="6">
        <v>947</v>
      </c>
      <c r="J9" s="7">
        <v>857</v>
      </c>
      <c r="K9" s="7">
        <v>732</v>
      </c>
      <c r="L9" s="4">
        <f t="shared" si="0"/>
        <v>6041</v>
      </c>
      <c r="M9" s="4">
        <f t="shared" si="1"/>
        <v>8.06402093094657</v>
      </c>
      <c r="N9" s="12">
        <f t="shared" si="2"/>
        <v>87488.1758840255</v>
      </c>
    </row>
    <row r="10" ht="31.5" spans="1:14">
      <c r="A10" s="5" t="s">
        <v>10</v>
      </c>
      <c r="B10" s="6">
        <v>1108</v>
      </c>
      <c r="C10" s="7">
        <v>888</v>
      </c>
      <c r="D10" s="7">
        <v>353</v>
      </c>
      <c r="E10" s="7">
        <v>770</v>
      </c>
      <c r="F10" s="6">
        <v>648</v>
      </c>
      <c r="G10" s="7">
        <v>1203</v>
      </c>
      <c r="H10" s="7">
        <v>2688</v>
      </c>
      <c r="I10" s="6">
        <v>2079</v>
      </c>
      <c r="J10" s="7">
        <v>1493</v>
      </c>
      <c r="K10" s="7">
        <v>666</v>
      </c>
      <c r="L10" s="4">
        <f t="shared" si="0"/>
        <v>11896</v>
      </c>
      <c r="M10" s="4">
        <f t="shared" si="1"/>
        <v>15.8797538477968</v>
      </c>
      <c r="N10" s="12">
        <f t="shared" si="2"/>
        <v>172282.625445517</v>
      </c>
    </row>
    <row r="11" ht="15.75" spans="1:14">
      <c r="A11" s="5" t="s">
        <v>14</v>
      </c>
      <c r="B11" s="6">
        <v>272</v>
      </c>
      <c r="C11" s="7">
        <v>259</v>
      </c>
      <c r="D11" s="7">
        <v>348</v>
      </c>
      <c r="E11" s="7">
        <v>485</v>
      </c>
      <c r="F11" s="6">
        <v>833</v>
      </c>
      <c r="G11" s="7">
        <v>811</v>
      </c>
      <c r="H11" s="7">
        <v>953</v>
      </c>
      <c r="I11" s="6">
        <v>849</v>
      </c>
      <c r="J11" s="7">
        <v>1026</v>
      </c>
      <c r="K11" s="7">
        <v>795</v>
      </c>
      <c r="L11" s="4">
        <f t="shared" si="0"/>
        <v>6631</v>
      </c>
      <c r="M11" s="4">
        <f t="shared" si="1"/>
        <v>8.85160119071456</v>
      </c>
      <c r="N11" s="12">
        <f t="shared" si="2"/>
        <v>96032.7916383004</v>
      </c>
    </row>
    <row r="12" spans="1:14">
      <c r="A12" s="3"/>
      <c r="B12" s="4"/>
      <c r="C12" s="4"/>
      <c r="D12" s="4"/>
      <c r="E12" s="4"/>
      <c r="F12" s="4"/>
      <c r="G12" s="4"/>
      <c r="H12" s="4"/>
      <c r="I12" s="4"/>
      <c r="J12" s="4"/>
      <c r="K12" s="4"/>
      <c r="L12" s="4">
        <f>SUM(L3:L11)</f>
        <v>74913</v>
      </c>
      <c r="M12" s="4"/>
      <c r="N12" s="12">
        <f>SUM(N3:N11)</f>
        <v>1084920</v>
      </c>
    </row>
    <row r="13" spans="1:1">
      <c r="A13" s="1" t="s">
        <v>259</v>
      </c>
    </row>
    <row r="14" spans="1:15">
      <c r="A14" s="3" t="s">
        <v>246</v>
      </c>
      <c r="B14" s="4" t="s">
        <v>247</v>
      </c>
      <c r="C14" s="4" t="s">
        <v>248</v>
      </c>
      <c r="D14" s="4" t="s">
        <v>249</v>
      </c>
      <c r="E14" s="4" t="s">
        <v>250</v>
      </c>
      <c r="F14" s="4" t="s">
        <v>251</v>
      </c>
      <c r="G14" s="4" t="s">
        <v>252</v>
      </c>
      <c r="H14" s="4" t="s">
        <v>253</v>
      </c>
      <c r="I14" s="4" t="s">
        <v>254</v>
      </c>
      <c r="J14" s="4" t="s">
        <v>255</v>
      </c>
      <c r="K14" s="4" t="s">
        <v>256</v>
      </c>
      <c r="L14" s="11" t="s">
        <v>260</v>
      </c>
      <c r="M14" s="11" t="s">
        <v>258</v>
      </c>
      <c r="N14" s="11" t="s">
        <v>214</v>
      </c>
      <c r="O14" s="11" t="s">
        <v>261</v>
      </c>
    </row>
    <row r="15" ht="31.5" spans="1:15">
      <c r="A15" s="5" t="s">
        <v>6</v>
      </c>
      <c r="B15" s="7">
        <v>0</v>
      </c>
      <c r="C15" s="7">
        <v>0</v>
      </c>
      <c r="D15" s="7">
        <v>0</v>
      </c>
      <c r="E15" s="7">
        <v>0</v>
      </c>
      <c r="F15" s="9">
        <v>1</v>
      </c>
      <c r="G15" s="7">
        <v>3</v>
      </c>
      <c r="H15" s="7">
        <v>7</v>
      </c>
      <c r="I15" s="9">
        <v>3</v>
      </c>
      <c r="J15" s="7">
        <v>1</v>
      </c>
      <c r="K15" s="7">
        <v>0</v>
      </c>
      <c r="L15" s="4">
        <f>SUM(B15:K15)</f>
        <v>15</v>
      </c>
      <c r="M15" s="4">
        <f>L15/3655%</f>
        <v>0.410396716826265</v>
      </c>
      <c r="N15" s="12">
        <f>294000*M15%</f>
        <v>1206.56634746922</v>
      </c>
      <c r="O15" s="13">
        <f>SUM(N3,N15)/100000</f>
        <v>2.38688954717979</v>
      </c>
    </row>
    <row r="16" ht="31.5" spans="1:15">
      <c r="A16" s="5" t="s">
        <v>7</v>
      </c>
      <c r="B16" s="7">
        <v>0</v>
      </c>
      <c r="C16" s="7">
        <v>0</v>
      </c>
      <c r="D16" s="7">
        <v>0</v>
      </c>
      <c r="E16" s="7">
        <v>0</v>
      </c>
      <c r="F16" s="9">
        <v>1</v>
      </c>
      <c r="G16" s="7">
        <v>2</v>
      </c>
      <c r="H16" s="7">
        <v>6</v>
      </c>
      <c r="I16" s="9">
        <v>3</v>
      </c>
      <c r="J16" s="7">
        <v>3</v>
      </c>
      <c r="K16" s="7">
        <v>3</v>
      </c>
      <c r="L16" s="4">
        <f t="shared" ref="L16:L23" si="3">SUM(B16:K16)</f>
        <v>18</v>
      </c>
      <c r="M16" s="4">
        <f t="shared" ref="M16:M23" si="4">L16/3655%</f>
        <v>0.492476060191519</v>
      </c>
      <c r="N16" s="12">
        <f t="shared" ref="N16:N23" si="5">294000*M16%</f>
        <v>1447.87961696306</v>
      </c>
      <c r="O16" s="13">
        <f t="shared" ref="O16:O23" si="6">SUM(N4,N16)/100000</f>
        <v>0.722523311807771</v>
      </c>
    </row>
    <row r="17" ht="15.75" spans="1:15">
      <c r="A17" s="5" t="s">
        <v>11</v>
      </c>
      <c r="B17" s="7">
        <v>8</v>
      </c>
      <c r="C17" s="7">
        <v>7</v>
      </c>
      <c r="D17" s="7">
        <v>2</v>
      </c>
      <c r="E17" s="7">
        <v>2</v>
      </c>
      <c r="F17" s="9">
        <v>9</v>
      </c>
      <c r="G17" s="7">
        <v>65</v>
      </c>
      <c r="H17" s="7">
        <v>97</v>
      </c>
      <c r="I17" s="9">
        <v>184</v>
      </c>
      <c r="J17" s="7">
        <v>142</v>
      </c>
      <c r="K17" s="7">
        <v>78</v>
      </c>
      <c r="L17" s="4">
        <f t="shared" si="3"/>
        <v>594</v>
      </c>
      <c r="M17" s="4">
        <f t="shared" si="4"/>
        <v>16.2517099863201</v>
      </c>
      <c r="N17" s="12">
        <f t="shared" si="5"/>
        <v>47780.0273597811</v>
      </c>
      <c r="O17" s="13">
        <f t="shared" si="6"/>
        <v>1.40901856681795</v>
      </c>
    </row>
    <row r="18" ht="15.75" spans="1:15">
      <c r="A18" s="5" t="s">
        <v>13</v>
      </c>
      <c r="B18" s="7">
        <v>1</v>
      </c>
      <c r="C18" s="7">
        <v>1</v>
      </c>
      <c r="D18" s="7">
        <v>0</v>
      </c>
      <c r="E18" s="7">
        <v>2</v>
      </c>
      <c r="F18" s="9">
        <v>4</v>
      </c>
      <c r="G18" s="7">
        <v>49</v>
      </c>
      <c r="H18" s="7">
        <v>54</v>
      </c>
      <c r="I18" s="9">
        <v>25</v>
      </c>
      <c r="J18" s="7">
        <v>17</v>
      </c>
      <c r="K18" s="7">
        <v>32</v>
      </c>
      <c r="L18" s="4">
        <f t="shared" si="3"/>
        <v>185</v>
      </c>
      <c r="M18" s="4">
        <f t="shared" si="4"/>
        <v>5.06155950752394</v>
      </c>
      <c r="N18" s="12">
        <f t="shared" si="5"/>
        <v>14880.9849521204</v>
      </c>
      <c r="O18" s="13">
        <f t="shared" si="6"/>
        <v>0.880026204492971</v>
      </c>
    </row>
    <row r="19" ht="15.75" spans="1:15">
      <c r="A19" s="8" t="s">
        <v>9</v>
      </c>
      <c r="B19" s="7">
        <v>0</v>
      </c>
      <c r="C19" s="7">
        <v>0</v>
      </c>
      <c r="D19" s="7">
        <v>0</v>
      </c>
      <c r="E19" s="7">
        <v>1</v>
      </c>
      <c r="F19" s="10">
        <v>1</v>
      </c>
      <c r="G19" s="7">
        <v>2</v>
      </c>
      <c r="H19" s="7">
        <v>4</v>
      </c>
      <c r="I19" s="10">
        <v>5</v>
      </c>
      <c r="J19" s="7">
        <v>0</v>
      </c>
      <c r="K19" s="7">
        <v>2</v>
      </c>
      <c r="L19" s="4">
        <f t="shared" si="3"/>
        <v>15</v>
      </c>
      <c r="M19" s="4">
        <f t="shared" si="4"/>
        <v>0.410396716826265</v>
      </c>
      <c r="N19" s="12">
        <f t="shared" si="5"/>
        <v>1206.56634746922</v>
      </c>
      <c r="O19" s="13">
        <f t="shared" si="6"/>
        <v>1.29100637069507</v>
      </c>
    </row>
    <row r="20" ht="15.75" spans="1:15">
      <c r="A20" s="5" t="s">
        <v>12</v>
      </c>
      <c r="B20" s="7">
        <v>16</v>
      </c>
      <c r="C20" s="7">
        <v>3</v>
      </c>
      <c r="D20" s="7">
        <v>8</v>
      </c>
      <c r="E20" s="7">
        <v>5</v>
      </c>
      <c r="F20" s="9">
        <v>14</v>
      </c>
      <c r="G20" s="7">
        <v>137</v>
      </c>
      <c r="H20" s="7">
        <v>235</v>
      </c>
      <c r="I20" s="9">
        <v>203</v>
      </c>
      <c r="J20" s="7">
        <v>267</v>
      </c>
      <c r="K20" s="7">
        <v>266</v>
      </c>
      <c r="L20" s="4">
        <f t="shared" si="3"/>
        <v>1154</v>
      </c>
      <c r="M20" s="4">
        <f t="shared" si="4"/>
        <v>31.5731874145007</v>
      </c>
      <c r="N20" s="12">
        <f t="shared" si="5"/>
        <v>92825.170998632</v>
      </c>
      <c r="O20" s="13">
        <f t="shared" si="6"/>
        <v>2.19517202555238</v>
      </c>
    </row>
    <row r="21" ht="31.5" spans="1:15">
      <c r="A21" s="5" t="s">
        <v>8</v>
      </c>
      <c r="B21" s="7">
        <v>0</v>
      </c>
      <c r="C21" s="7">
        <v>0</v>
      </c>
      <c r="D21" s="7">
        <v>0</v>
      </c>
      <c r="E21" s="7">
        <v>0</v>
      </c>
      <c r="F21" s="9">
        <v>0</v>
      </c>
      <c r="G21" s="7">
        <v>3</v>
      </c>
      <c r="H21" s="7">
        <v>2</v>
      </c>
      <c r="I21" s="9">
        <v>0</v>
      </c>
      <c r="J21" s="7">
        <v>0</v>
      </c>
      <c r="K21" s="7">
        <v>1</v>
      </c>
      <c r="L21" s="4">
        <f t="shared" si="3"/>
        <v>6</v>
      </c>
      <c r="M21" s="4">
        <f t="shared" si="4"/>
        <v>0.164158686730506</v>
      </c>
      <c r="N21" s="12">
        <f t="shared" si="5"/>
        <v>482.626538987688</v>
      </c>
      <c r="O21" s="13">
        <f t="shared" si="6"/>
        <v>0.879708024230132</v>
      </c>
    </row>
    <row r="22" ht="31.5" spans="1:15">
      <c r="A22" s="5" t="s">
        <v>10</v>
      </c>
      <c r="B22" s="7">
        <v>76</v>
      </c>
      <c r="C22" s="7">
        <v>37</v>
      </c>
      <c r="D22" s="7">
        <v>6</v>
      </c>
      <c r="E22" s="7">
        <v>37</v>
      </c>
      <c r="F22" s="9">
        <v>54</v>
      </c>
      <c r="G22" s="7">
        <v>177</v>
      </c>
      <c r="H22" s="7">
        <v>568</v>
      </c>
      <c r="I22" s="9">
        <v>484</v>
      </c>
      <c r="J22" s="7">
        <v>202</v>
      </c>
      <c r="K22" s="7">
        <v>19</v>
      </c>
      <c r="L22" s="4">
        <f t="shared" si="3"/>
        <v>1660</v>
      </c>
      <c r="M22" s="4">
        <f t="shared" si="4"/>
        <v>45.4172366621067</v>
      </c>
      <c r="N22" s="12">
        <f t="shared" si="5"/>
        <v>133526.675786594</v>
      </c>
      <c r="O22" s="13">
        <f t="shared" si="6"/>
        <v>3.0580930123211</v>
      </c>
    </row>
    <row r="23" ht="15.75" spans="1:15">
      <c r="A23" s="5" t="s">
        <v>14</v>
      </c>
      <c r="B23" s="7">
        <v>0</v>
      </c>
      <c r="C23" s="7">
        <v>0</v>
      </c>
      <c r="D23" s="7">
        <v>0</v>
      </c>
      <c r="E23" s="7">
        <v>0</v>
      </c>
      <c r="F23" s="9">
        <v>1</v>
      </c>
      <c r="G23" s="7">
        <v>1</v>
      </c>
      <c r="H23" s="7">
        <v>4</v>
      </c>
      <c r="I23" s="9">
        <v>0</v>
      </c>
      <c r="J23" s="7">
        <v>0</v>
      </c>
      <c r="K23" s="7">
        <v>2</v>
      </c>
      <c r="L23" s="4">
        <f t="shared" si="3"/>
        <v>8</v>
      </c>
      <c r="M23" s="4">
        <f t="shared" si="4"/>
        <v>0.218878248974008</v>
      </c>
      <c r="N23" s="12">
        <f t="shared" si="5"/>
        <v>643.502051983584</v>
      </c>
      <c r="O23" s="13">
        <f t="shared" si="6"/>
        <v>0.96676293690284</v>
      </c>
    </row>
    <row r="24" spans="12:14">
      <c r="L24">
        <f>SUM(L15:L23)</f>
        <v>3655</v>
      </c>
      <c r="N24" s="14">
        <f>SUM(N15:N23)</f>
        <v>294000</v>
      </c>
    </row>
  </sheetData>
  <mergeCells count="1">
    <mergeCell ref="A1:K1"/>
  </mergeCells>
  <pageMargins left="0.7" right="0.7" top="0.75" bottom="0.75" header="0.3" footer="0.3"/>
  <pageSetup paperSize="9" scale="75"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60"/>
  <sheetViews>
    <sheetView view="pageBreakPreview" zoomScale="60" zoomScaleNormal="100" zoomScaleSheetLayoutView="60" topLeftCell="A40" workbookViewId="0">
      <selection activeCell="F16" sqref="F16"/>
    </sheetView>
  </sheetViews>
  <sheetFormatPr defaultColWidth="9" defaultRowHeight="15"/>
  <cols>
    <col min="1" max="1" width="12.2857142857143" customWidth="1"/>
    <col min="2" max="2" width="23" customWidth="1"/>
    <col min="3" max="4" width="11" customWidth="1"/>
    <col min="5" max="5" width="12" customWidth="1"/>
    <col min="6" max="6" width="10.8571428571429" customWidth="1"/>
    <col min="7" max="7" width="11.5714285714286" customWidth="1"/>
    <col min="8" max="8" width="55.1428571428571" style="36" customWidth="1"/>
    <col min="9" max="9" width="9.14285714285714" style="100"/>
    <col min="10" max="10" width="12.1428571428571" customWidth="1"/>
    <col min="11" max="18" width="9.28571428571429" customWidth="1"/>
  </cols>
  <sheetData>
    <row r="1" spans="1:8">
      <c r="A1" s="37"/>
      <c r="B1" t="s">
        <v>28</v>
      </c>
      <c r="E1" s="38"/>
      <c r="F1" t="s">
        <v>98</v>
      </c>
      <c r="H1" s="36" t="s">
        <v>99</v>
      </c>
    </row>
    <row r="2" ht="30" spans="1:19">
      <c r="A2" s="39" t="s">
        <v>100</v>
      </c>
      <c r="B2" s="39" t="s">
        <v>2</v>
      </c>
      <c r="C2" s="39" t="s">
        <v>101</v>
      </c>
      <c r="D2" s="40" t="s">
        <v>102</v>
      </c>
      <c r="E2" s="39" t="s">
        <v>103</v>
      </c>
      <c r="F2" s="39" t="s">
        <v>104</v>
      </c>
      <c r="G2" s="39" t="s">
        <v>105</v>
      </c>
      <c r="H2" s="39" t="s">
        <v>106</v>
      </c>
      <c r="I2" s="94" t="s">
        <v>5</v>
      </c>
      <c r="J2" s="94" t="s">
        <v>6</v>
      </c>
      <c r="K2" s="94" t="s">
        <v>7</v>
      </c>
      <c r="L2" s="94" t="s">
        <v>8</v>
      </c>
      <c r="M2" s="94" t="s">
        <v>9</v>
      </c>
      <c r="N2" s="94" t="s">
        <v>10</v>
      </c>
      <c r="O2" s="94" t="s">
        <v>11</v>
      </c>
      <c r="P2" s="94" t="s">
        <v>12</v>
      </c>
      <c r="Q2" s="94" t="s">
        <v>13</v>
      </c>
      <c r="R2" s="94" t="s">
        <v>14</v>
      </c>
      <c r="S2" s="102" t="s">
        <v>107</v>
      </c>
    </row>
    <row r="3" ht="60" spans="1:19">
      <c r="A3" s="41" t="s">
        <v>15</v>
      </c>
      <c r="B3" s="42" t="s">
        <v>16</v>
      </c>
      <c r="C3" s="43">
        <v>2</v>
      </c>
      <c r="D3" s="43">
        <f>G3-C3</f>
        <v>0</v>
      </c>
      <c r="E3" s="44">
        <v>1</v>
      </c>
      <c r="F3" s="45">
        <v>2</v>
      </c>
      <c r="G3" s="44">
        <v>2</v>
      </c>
      <c r="H3" s="43" t="s">
        <v>108</v>
      </c>
      <c r="I3" s="101">
        <v>0</v>
      </c>
      <c r="J3" s="45">
        <v>1</v>
      </c>
      <c r="K3" s="45">
        <v>0</v>
      </c>
      <c r="L3" s="45">
        <v>0</v>
      </c>
      <c r="M3" s="45">
        <v>0</v>
      </c>
      <c r="N3" s="45">
        <v>0</v>
      </c>
      <c r="O3" s="45">
        <v>1</v>
      </c>
      <c r="P3" s="45">
        <v>0</v>
      </c>
      <c r="Q3" s="45">
        <v>0</v>
      </c>
      <c r="R3" s="45">
        <v>0</v>
      </c>
      <c r="S3" s="45">
        <f t="shared" ref="S3:S8" si="0">SUM(I3:R3)</f>
        <v>2</v>
      </c>
    </row>
    <row r="4" ht="60" spans="1:19">
      <c r="A4" s="41" t="s">
        <v>17</v>
      </c>
      <c r="B4" s="42" t="s">
        <v>18</v>
      </c>
      <c r="C4" s="43">
        <v>56</v>
      </c>
      <c r="D4" s="43">
        <f t="shared" ref="D4:D31" si="1">G4-C4</f>
        <v>-42.21</v>
      </c>
      <c r="E4" s="44">
        <f>G4/2</f>
        <v>6.895</v>
      </c>
      <c r="F4" s="45">
        <v>2</v>
      </c>
      <c r="G4" s="44">
        <v>13.79</v>
      </c>
      <c r="H4" s="43" t="s">
        <v>109</v>
      </c>
      <c r="I4" s="101">
        <v>0</v>
      </c>
      <c r="J4" s="45">
        <v>2.36</v>
      </c>
      <c r="K4" s="45">
        <v>0.74</v>
      </c>
      <c r="L4" s="45">
        <v>0.88</v>
      </c>
      <c r="M4" s="45">
        <v>1.29</v>
      </c>
      <c r="N4" s="45">
        <v>3.06</v>
      </c>
      <c r="O4" s="45">
        <v>1.41</v>
      </c>
      <c r="P4" s="45">
        <v>2.2</v>
      </c>
      <c r="Q4" s="45">
        <v>0.88</v>
      </c>
      <c r="R4" s="45">
        <v>0.97</v>
      </c>
      <c r="S4" s="45">
        <f t="shared" si="0"/>
        <v>13.79</v>
      </c>
    </row>
    <row r="5" ht="75" spans="1:19">
      <c r="A5" s="41" t="s">
        <v>19</v>
      </c>
      <c r="B5" s="42" t="s">
        <v>20</v>
      </c>
      <c r="C5" s="43">
        <v>30</v>
      </c>
      <c r="D5" s="43">
        <f t="shared" si="1"/>
        <v>21.53</v>
      </c>
      <c r="E5" s="44">
        <f>G5/F5</f>
        <v>25.765</v>
      </c>
      <c r="F5" s="45">
        <v>2</v>
      </c>
      <c r="G5" s="44">
        <v>51.53</v>
      </c>
      <c r="H5" s="43" t="s">
        <v>110</v>
      </c>
      <c r="I5" s="101">
        <v>0</v>
      </c>
      <c r="J5" s="45">
        <f>0.91*2</f>
        <v>1.82</v>
      </c>
      <c r="K5" s="45">
        <f>J5</f>
        <v>1.82</v>
      </c>
      <c r="L5" s="45">
        <v>0</v>
      </c>
      <c r="M5" s="45">
        <f>1.82*2</f>
        <v>3.64</v>
      </c>
      <c r="N5" s="45">
        <f>6.84*2</f>
        <v>13.68</v>
      </c>
      <c r="O5" s="45">
        <f>9.12*2</f>
        <v>18.24</v>
      </c>
      <c r="P5" s="45">
        <f>3.88*2</f>
        <v>7.76</v>
      </c>
      <c r="Q5" s="45">
        <f>2.28*2</f>
        <v>4.56</v>
      </c>
      <c r="R5" s="45">
        <v>0</v>
      </c>
      <c r="S5" s="45">
        <f t="shared" si="0"/>
        <v>51.52</v>
      </c>
    </row>
    <row r="6" ht="142.5" customHeight="1" spans="1:19">
      <c r="A6" s="41" t="s">
        <v>21</v>
      </c>
      <c r="B6" s="42" t="s">
        <v>22</v>
      </c>
      <c r="C6" s="43">
        <v>25</v>
      </c>
      <c r="D6" s="43">
        <f t="shared" si="1"/>
        <v>1.01</v>
      </c>
      <c r="E6" s="44">
        <f>G6/F6</f>
        <v>5.202</v>
      </c>
      <c r="F6" s="45">
        <v>5</v>
      </c>
      <c r="G6" s="44">
        <v>26.01</v>
      </c>
      <c r="H6" s="43" t="s">
        <v>111</v>
      </c>
      <c r="I6" s="101">
        <v>16.8</v>
      </c>
      <c r="J6" s="45">
        <v>0.8</v>
      </c>
      <c r="K6" s="45">
        <v>0.8</v>
      </c>
      <c r="L6" s="45">
        <v>0</v>
      </c>
      <c r="M6" s="45">
        <v>0.11</v>
      </c>
      <c r="N6" s="45">
        <v>3.29</v>
      </c>
      <c r="O6" s="45">
        <v>2.3</v>
      </c>
      <c r="P6" s="45">
        <v>1.18</v>
      </c>
      <c r="Q6" s="45">
        <v>0.73</v>
      </c>
      <c r="R6" s="45">
        <v>0</v>
      </c>
      <c r="S6" s="45">
        <f t="shared" si="0"/>
        <v>26.01</v>
      </c>
    </row>
    <row r="7" ht="75" spans="1:19">
      <c r="A7" s="41" t="s">
        <v>23</v>
      </c>
      <c r="B7" s="42" t="s">
        <v>24</v>
      </c>
      <c r="C7" s="43">
        <v>2</v>
      </c>
      <c r="D7" s="43">
        <f t="shared" si="1"/>
        <v>0</v>
      </c>
      <c r="E7" s="44">
        <v>2</v>
      </c>
      <c r="F7" s="45">
        <v>1</v>
      </c>
      <c r="G7" s="44">
        <v>2</v>
      </c>
      <c r="H7" s="43" t="s">
        <v>112</v>
      </c>
      <c r="I7" s="101">
        <v>2</v>
      </c>
      <c r="J7" s="45">
        <v>0</v>
      </c>
      <c r="K7" s="45">
        <v>0</v>
      </c>
      <c r="L7" s="45">
        <v>0</v>
      </c>
      <c r="M7" s="45">
        <v>0</v>
      </c>
      <c r="N7" s="45">
        <v>0</v>
      </c>
      <c r="O7" s="45">
        <v>0</v>
      </c>
      <c r="P7" s="45">
        <v>0</v>
      </c>
      <c r="Q7" s="45">
        <v>0</v>
      </c>
      <c r="R7" s="45">
        <v>0</v>
      </c>
      <c r="S7" s="45">
        <f t="shared" si="0"/>
        <v>2</v>
      </c>
    </row>
    <row r="8" ht="30" spans="1:19">
      <c r="A8" s="52" t="s">
        <v>25</v>
      </c>
      <c r="B8" s="53" t="s">
        <v>26</v>
      </c>
      <c r="C8" s="54">
        <v>0.62</v>
      </c>
      <c r="D8" s="43">
        <f t="shared" si="1"/>
        <v>0</v>
      </c>
      <c r="E8" s="55">
        <f>G8/F8</f>
        <v>0.62</v>
      </c>
      <c r="F8" s="56">
        <v>1</v>
      </c>
      <c r="G8" s="55">
        <v>0.62</v>
      </c>
      <c r="H8" s="54" t="s">
        <v>113</v>
      </c>
      <c r="I8" s="101"/>
      <c r="J8" s="45">
        <f>(2800*2)/100000</f>
        <v>0.056</v>
      </c>
      <c r="K8" s="45">
        <f>(2800*2)/100000</f>
        <v>0.056</v>
      </c>
      <c r="L8" s="45">
        <f>(2800*3)/100000</f>
        <v>0.084</v>
      </c>
      <c r="M8" s="45">
        <f>(2800*2)/100000</f>
        <v>0.056</v>
      </c>
      <c r="N8" s="45">
        <f>(2800*4)/100000</f>
        <v>0.112</v>
      </c>
      <c r="O8" s="45">
        <f>(2800*3)/100000</f>
        <v>0.084</v>
      </c>
      <c r="P8" s="45">
        <f>(2800*2)/100000</f>
        <v>0.056</v>
      </c>
      <c r="Q8" s="45">
        <f>(2800*2)/100000</f>
        <v>0.056</v>
      </c>
      <c r="R8" s="45">
        <f>(2800*2)/100000</f>
        <v>0.056</v>
      </c>
      <c r="S8" s="45">
        <f t="shared" si="0"/>
        <v>0.616</v>
      </c>
    </row>
    <row r="9" ht="105" spans="1:19">
      <c r="A9" s="57" t="s">
        <v>27</v>
      </c>
      <c r="B9" s="58" t="s">
        <v>29</v>
      </c>
      <c r="C9" s="59">
        <v>1.37</v>
      </c>
      <c r="D9" s="43">
        <f t="shared" si="1"/>
        <v>1.2</v>
      </c>
      <c r="E9" s="60">
        <f>G9/F9</f>
        <v>2.57</v>
      </c>
      <c r="F9" s="61">
        <v>1</v>
      </c>
      <c r="G9" s="60">
        <v>2.57</v>
      </c>
      <c r="H9" s="59" t="s">
        <v>114</v>
      </c>
      <c r="I9" s="65">
        <f>G9</f>
        <v>2.57</v>
      </c>
      <c r="J9" s="45">
        <v>0</v>
      </c>
      <c r="K9" s="45">
        <v>0</v>
      </c>
      <c r="L9" s="45">
        <v>0</v>
      </c>
      <c r="M9" s="45">
        <v>0</v>
      </c>
      <c r="N9" s="45">
        <v>0</v>
      </c>
      <c r="O9" s="45">
        <v>0</v>
      </c>
      <c r="P9" s="45">
        <v>0</v>
      </c>
      <c r="Q9" s="45">
        <v>0</v>
      </c>
      <c r="R9" s="45">
        <v>0</v>
      </c>
      <c r="S9" s="45">
        <f t="shared" ref="S9:S31" si="2">SUM(I9:R9)</f>
        <v>2.57</v>
      </c>
    </row>
    <row r="10" ht="105" spans="1:19">
      <c r="A10" s="57" t="s">
        <v>30</v>
      </c>
      <c r="B10" s="58" t="s">
        <v>31</v>
      </c>
      <c r="C10" s="59">
        <v>2.17</v>
      </c>
      <c r="D10" s="43">
        <f t="shared" si="1"/>
        <v>-1.17</v>
      </c>
      <c r="E10" s="60">
        <f t="shared" ref="E10:E31" si="3">G10/F10</f>
        <v>1</v>
      </c>
      <c r="F10" s="61">
        <v>1</v>
      </c>
      <c r="G10" s="60">
        <v>1</v>
      </c>
      <c r="H10" s="59" t="s">
        <v>115</v>
      </c>
      <c r="I10" s="65">
        <f t="shared" ref="I10:I16" si="4">G10</f>
        <v>1</v>
      </c>
      <c r="J10" s="45">
        <v>0</v>
      </c>
      <c r="K10" s="45">
        <v>0</v>
      </c>
      <c r="L10" s="45">
        <v>0</v>
      </c>
      <c r="M10" s="45">
        <v>0</v>
      </c>
      <c r="N10" s="45">
        <v>0</v>
      </c>
      <c r="O10" s="45">
        <v>0</v>
      </c>
      <c r="P10" s="45">
        <v>0</v>
      </c>
      <c r="Q10" s="45">
        <v>0</v>
      </c>
      <c r="R10" s="45">
        <v>0</v>
      </c>
      <c r="S10" s="45">
        <f t="shared" si="2"/>
        <v>1</v>
      </c>
    </row>
    <row r="11" ht="105" spans="1:19">
      <c r="A11" s="57" t="s">
        <v>32</v>
      </c>
      <c r="B11" s="58" t="s">
        <v>116</v>
      </c>
      <c r="C11" s="59">
        <v>3</v>
      </c>
      <c r="D11" s="43">
        <f t="shared" si="1"/>
        <v>-0.47</v>
      </c>
      <c r="E11" s="60">
        <f t="shared" si="3"/>
        <v>2.53</v>
      </c>
      <c r="F11" s="61">
        <v>1</v>
      </c>
      <c r="G11" s="60">
        <v>2.53</v>
      </c>
      <c r="H11" s="59" t="s">
        <v>117</v>
      </c>
      <c r="I11" s="65">
        <f t="shared" si="4"/>
        <v>2.53</v>
      </c>
      <c r="J11" s="45">
        <v>0</v>
      </c>
      <c r="K11" s="45">
        <v>0</v>
      </c>
      <c r="L11" s="45">
        <v>0</v>
      </c>
      <c r="M11" s="45">
        <v>0</v>
      </c>
      <c r="N11" s="45">
        <v>0</v>
      </c>
      <c r="O11" s="45">
        <v>0</v>
      </c>
      <c r="P11" s="45">
        <v>0</v>
      </c>
      <c r="Q11" s="45">
        <v>0</v>
      </c>
      <c r="R11" s="45">
        <v>0</v>
      </c>
      <c r="S11" s="45">
        <f t="shared" si="2"/>
        <v>2.53</v>
      </c>
    </row>
    <row r="12" ht="120" spans="1:19">
      <c r="A12" s="57" t="s">
        <v>35</v>
      </c>
      <c r="B12" s="58" t="s">
        <v>36</v>
      </c>
      <c r="C12" s="59">
        <v>0.17</v>
      </c>
      <c r="D12" s="43">
        <f t="shared" si="1"/>
        <v>0</v>
      </c>
      <c r="E12" s="60">
        <f t="shared" si="3"/>
        <v>0.17</v>
      </c>
      <c r="F12" s="61">
        <v>1</v>
      </c>
      <c r="G12" s="60">
        <v>0.17</v>
      </c>
      <c r="H12" s="59" t="s">
        <v>118</v>
      </c>
      <c r="I12" s="65">
        <f t="shared" si="4"/>
        <v>0.17</v>
      </c>
      <c r="J12" s="45">
        <v>0</v>
      </c>
      <c r="K12" s="45">
        <v>0</v>
      </c>
      <c r="L12" s="45">
        <v>0</v>
      </c>
      <c r="M12" s="45">
        <v>0</v>
      </c>
      <c r="N12" s="45">
        <v>0</v>
      </c>
      <c r="O12" s="45">
        <v>0</v>
      </c>
      <c r="P12" s="45">
        <v>0</v>
      </c>
      <c r="Q12" s="45">
        <v>0</v>
      </c>
      <c r="R12" s="45">
        <v>0</v>
      </c>
      <c r="S12" s="45">
        <f t="shared" si="2"/>
        <v>0.17</v>
      </c>
    </row>
    <row r="13" ht="60" spans="1:19">
      <c r="A13" s="57" t="s">
        <v>37</v>
      </c>
      <c r="B13" s="58" t="s">
        <v>38</v>
      </c>
      <c r="C13" s="59">
        <v>1</v>
      </c>
      <c r="D13" s="43">
        <f t="shared" si="1"/>
        <v>-0.86</v>
      </c>
      <c r="E13" s="60">
        <f t="shared" si="3"/>
        <v>0.14</v>
      </c>
      <c r="F13" s="61">
        <v>1</v>
      </c>
      <c r="G13" s="60">
        <v>0.14</v>
      </c>
      <c r="H13" s="59" t="s">
        <v>119</v>
      </c>
      <c r="I13" s="65">
        <f t="shared" si="4"/>
        <v>0.14</v>
      </c>
      <c r="J13" s="45">
        <v>0</v>
      </c>
      <c r="K13" s="45">
        <v>0</v>
      </c>
      <c r="L13" s="45">
        <v>0</v>
      </c>
      <c r="M13" s="45">
        <v>0</v>
      </c>
      <c r="N13" s="45">
        <v>0</v>
      </c>
      <c r="O13" s="45">
        <v>0</v>
      </c>
      <c r="P13" s="45">
        <v>0</v>
      </c>
      <c r="Q13" s="45">
        <v>0</v>
      </c>
      <c r="R13" s="45">
        <v>0</v>
      </c>
      <c r="S13" s="45">
        <f t="shared" si="2"/>
        <v>0.14</v>
      </c>
    </row>
    <row r="14" ht="60" spans="1:19">
      <c r="A14" s="57" t="s">
        <v>39</v>
      </c>
      <c r="B14" s="58" t="s">
        <v>40</v>
      </c>
      <c r="C14" s="59">
        <v>0.67</v>
      </c>
      <c r="D14" s="43">
        <f t="shared" si="1"/>
        <v>0</v>
      </c>
      <c r="E14" s="60">
        <f t="shared" si="3"/>
        <v>0.67</v>
      </c>
      <c r="F14" s="61">
        <v>1</v>
      </c>
      <c r="G14" s="60">
        <v>0.67</v>
      </c>
      <c r="H14" s="59" t="s">
        <v>120</v>
      </c>
      <c r="I14" s="65">
        <f t="shared" si="4"/>
        <v>0.67</v>
      </c>
      <c r="J14" s="45">
        <v>0</v>
      </c>
      <c r="K14" s="45">
        <v>0</v>
      </c>
      <c r="L14" s="45">
        <v>0</v>
      </c>
      <c r="M14" s="45">
        <v>0</v>
      </c>
      <c r="N14" s="45">
        <v>0</v>
      </c>
      <c r="O14" s="45">
        <v>0</v>
      </c>
      <c r="P14" s="45">
        <v>0</v>
      </c>
      <c r="Q14" s="45">
        <v>0</v>
      </c>
      <c r="R14" s="45">
        <v>0</v>
      </c>
      <c r="S14" s="45">
        <f t="shared" si="2"/>
        <v>0.67</v>
      </c>
    </row>
    <row r="15" ht="30" spans="1:19">
      <c r="A15" s="57" t="s">
        <v>41</v>
      </c>
      <c r="B15" s="58" t="s">
        <v>42</v>
      </c>
      <c r="C15" s="59">
        <v>15</v>
      </c>
      <c r="D15" s="43">
        <f t="shared" si="1"/>
        <v>25.98</v>
      </c>
      <c r="E15" s="60">
        <f t="shared" si="3"/>
        <v>40.98</v>
      </c>
      <c r="F15" s="61">
        <v>1</v>
      </c>
      <c r="G15" s="60">
        <v>40.98</v>
      </c>
      <c r="H15" s="59" t="s">
        <v>121</v>
      </c>
      <c r="I15" s="65">
        <f t="shared" si="4"/>
        <v>40.98</v>
      </c>
      <c r="J15" s="45">
        <v>0</v>
      </c>
      <c r="K15" s="45">
        <v>0</v>
      </c>
      <c r="L15" s="45">
        <v>0</v>
      </c>
      <c r="M15" s="45">
        <v>0</v>
      </c>
      <c r="N15" s="45">
        <v>0</v>
      </c>
      <c r="O15" s="45">
        <v>0</v>
      </c>
      <c r="P15" s="45">
        <v>0</v>
      </c>
      <c r="Q15" s="45">
        <v>0</v>
      </c>
      <c r="R15" s="45">
        <v>0</v>
      </c>
      <c r="S15" s="45">
        <f t="shared" si="2"/>
        <v>40.98</v>
      </c>
    </row>
    <row r="16" ht="409.5" spans="1:19">
      <c r="A16" s="57" t="s">
        <v>43</v>
      </c>
      <c r="B16" s="58" t="s">
        <v>44</v>
      </c>
      <c r="C16" s="59">
        <v>50.85</v>
      </c>
      <c r="D16" s="43">
        <f t="shared" si="1"/>
        <v>81.16</v>
      </c>
      <c r="E16" s="60">
        <f t="shared" si="3"/>
        <v>132.01</v>
      </c>
      <c r="F16" s="61">
        <v>1</v>
      </c>
      <c r="G16" s="60">
        <v>132.01</v>
      </c>
      <c r="H16" s="59" t="s">
        <v>122</v>
      </c>
      <c r="I16" s="65">
        <f t="shared" si="4"/>
        <v>132.01</v>
      </c>
      <c r="J16" s="45">
        <v>0</v>
      </c>
      <c r="K16" s="45">
        <v>0</v>
      </c>
      <c r="L16" s="45">
        <v>0</v>
      </c>
      <c r="M16" s="45">
        <v>0</v>
      </c>
      <c r="N16" s="45">
        <v>0</v>
      </c>
      <c r="O16" s="45">
        <v>0</v>
      </c>
      <c r="P16" s="45">
        <v>0</v>
      </c>
      <c r="Q16" s="45">
        <v>0</v>
      </c>
      <c r="R16" s="45">
        <v>0</v>
      </c>
      <c r="S16" s="45">
        <f t="shared" si="2"/>
        <v>132.01</v>
      </c>
    </row>
    <row r="17" ht="45" spans="1:19">
      <c r="A17" s="57" t="s">
        <v>45</v>
      </c>
      <c r="B17" s="58" t="s">
        <v>46</v>
      </c>
      <c r="C17" s="59">
        <v>8.64</v>
      </c>
      <c r="D17" s="43">
        <f t="shared" si="1"/>
        <v>0</v>
      </c>
      <c r="E17" s="60">
        <f t="shared" si="3"/>
        <v>8.64</v>
      </c>
      <c r="F17" s="61">
        <v>1</v>
      </c>
      <c r="G17" s="60">
        <v>8.64</v>
      </c>
      <c r="H17" s="59" t="s">
        <v>123</v>
      </c>
      <c r="I17" s="101">
        <v>0</v>
      </c>
      <c r="J17" s="45">
        <f>0.96</f>
        <v>0.96</v>
      </c>
      <c r="K17" s="45">
        <v>0.96</v>
      </c>
      <c r="L17" s="45">
        <v>0.96</v>
      </c>
      <c r="M17" s="45">
        <v>0.96</v>
      </c>
      <c r="N17" s="45">
        <v>0.96</v>
      </c>
      <c r="O17" s="45">
        <v>0.96</v>
      </c>
      <c r="P17" s="45">
        <v>0.96</v>
      </c>
      <c r="Q17" s="45">
        <v>0.96</v>
      </c>
      <c r="R17" s="45">
        <v>0.96</v>
      </c>
      <c r="S17" s="45">
        <f t="shared" si="2"/>
        <v>8.64</v>
      </c>
    </row>
    <row r="18" ht="45" spans="1:19">
      <c r="A18" s="41" t="s">
        <v>47</v>
      </c>
      <c r="B18" s="42" t="s">
        <v>48</v>
      </c>
      <c r="C18" s="43">
        <v>24.63</v>
      </c>
      <c r="D18" s="43">
        <f t="shared" si="1"/>
        <v>-2.59</v>
      </c>
      <c r="E18" s="65">
        <f t="shared" si="3"/>
        <v>7.34666666666667</v>
      </c>
      <c r="F18" s="45">
        <v>3</v>
      </c>
      <c r="G18" s="44">
        <v>22.04</v>
      </c>
      <c r="H18" s="43" t="s">
        <v>124</v>
      </c>
      <c r="I18" s="101">
        <v>22.04</v>
      </c>
      <c r="J18" s="45">
        <v>0</v>
      </c>
      <c r="K18" s="45">
        <v>0</v>
      </c>
      <c r="L18" s="45">
        <v>0</v>
      </c>
      <c r="M18" s="45">
        <v>0</v>
      </c>
      <c r="N18" s="45">
        <v>0</v>
      </c>
      <c r="O18" s="45">
        <v>0</v>
      </c>
      <c r="P18" s="45">
        <v>0</v>
      </c>
      <c r="Q18" s="45">
        <v>0</v>
      </c>
      <c r="R18" s="45">
        <v>0</v>
      </c>
      <c r="S18" s="45">
        <f t="shared" si="2"/>
        <v>22.04</v>
      </c>
    </row>
    <row r="19" ht="30" spans="1:19">
      <c r="A19" s="41" t="s">
        <v>49</v>
      </c>
      <c r="B19" s="42" t="s">
        <v>50</v>
      </c>
      <c r="C19" s="43">
        <v>2</v>
      </c>
      <c r="D19" s="43">
        <f t="shared" si="1"/>
        <v>0</v>
      </c>
      <c r="E19" s="65">
        <f t="shared" si="3"/>
        <v>2</v>
      </c>
      <c r="F19" s="45">
        <v>1</v>
      </c>
      <c r="G19" s="44">
        <v>2</v>
      </c>
      <c r="H19" s="43" t="s">
        <v>125</v>
      </c>
      <c r="I19" s="101">
        <v>2</v>
      </c>
      <c r="J19" s="45">
        <v>0</v>
      </c>
      <c r="K19" s="45">
        <v>0</v>
      </c>
      <c r="L19" s="45">
        <v>0</v>
      </c>
      <c r="M19" s="45">
        <v>0</v>
      </c>
      <c r="N19" s="45">
        <v>0</v>
      </c>
      <c r="O19" s="45">
        <v>0</v>
      </c>
      <c r="P19" s="45">
        <v>0</v>
      </c>
      <c r="Q19" s="45">
        <v>0</v>
      </c>
      <c r="R19" s="45">
        <v>0</v>
      </c>
      <c r="S19" s="45">
        <f t="shared" si="2"/>
        <v>2</v>
      </c>
    </row>
    <row r="20" ht="30" spans="1:19">
      <c r="A20" s="41" t="s">
        <v>51</v>
      </c>
      <c r="B20" s="42" t="s">
        <v>52</v>
      </c>
      <c r="C20" s="43">
        <v>2</v>
      </c>
      <c r="D20" s="43">
        <f t="shared" si="1"/>
        <v>0</v>
      </c>
      <c r="E20" s="65">
        <f t="shared" si="3"/>
        <v>1</v>
      </c>
      <c r="F20" s="45">
        <v>2</v>
      </c>
      <c r="G20" s="44">
        <v>2</v>
      </c>
      <c r="H20" s="43" t="s">
        <v>126</v>
      </c>
      <c r="I20" s="101">
        <v>0</v>
      </c>
      <c r="J20" s="45">
        <v>1</v>
      </c>
      <c r="K20" s="45">
        <v>0</v>
      </c>
      <c r="L20" s="45">
        <v>0</v>
      </c>
      <c r="M20" s="45">
        <v>0</v>
      </c>
      <c r="N20" s="45">
        <v>0</v>
      </c>
      <c r="O20" s="45">
        <v>1</v>
      </c>
      <c r="P20" s="45">
        <v>0</v>
      </c>
      <c r="Q20" s="45">
        <v>0</v>
      </c>
      <c r="R20" s="45">
        <v>0</v>
      </c>
      <c r="S20" s="45">
        <f t="shared" si="2"/>
        <v>2</v>
      </c>
    </row>
    <row r="21" ht="225" spans="1:19">
      <c r="A21" s="57" t="s">
        <v>53</v>
      </c>
      <c r="B21" s="58" t="s">
        <v>54</v>
      </c>
      <c r="C21" s="59">
        <v>10</v>
      </c>
      <c r="D21" s="43">
        <f t="shared" si="1"/>
        <v>58.9</v>
      </c>
      <c r="E21" s="60">
        <f t="shared" si="3"/>
        <v>6.26363636363636</v>
      </c>
      <c r="F21" s="61">
        <v>11</v>
      </c>
      <c r="G21" s="60">
        <v>68.9</v>
      </c>
      <c r="H21" s="59" t="s">
        <v>127</v>
      </c>
      <c r="I21" s="101">
        <v>2.3</v>
      </c>
      <c r="J21" s="45">
        <v>8.54</v>
      </c>
      <c r="K21" s="45">
        <v>8.2</v>
      </c>
      <c r="L21" s="45">
        <v>8.93</v>
      </c>
      <c r="M21" s="45">
        <v>5.98</v>
      </c>
      <c r="N21" s="45">
        <v>6.83</v>
      </c>
      <c r="O21" s="45">
        <v>10.61</v>
      </c>
      <c r="P21" s="45">
        <v>6.99</v>
      </c>
      <c r="Q21" s="45">
        <v>5.08</v>
      </c>
      <c r="R21" s="45">
        <v>5.44</v>
      </c>
      <c r="S21" s="45">
        <f t="shared" si="2"/>
        <v>68.9</v>
      </c>
    </row>
    <row r="22" ht="135" spans="1:19">
      <c r="A22" s="57" t="s">
        <v>55</v>
      </c>
      <c r="B22" s="58" t="s">
        <v>56</v>
      </c>
      <c r="C22" s="59">
        <v>5</v>
      </c>
      <c r="D22" s="43">
        <f t="shared" si="1"/>
        <v>25.67</v>
      </c>
      <c r="E22" s="60">
        <f t="shared" si="3"/>
        <v>3.40777777777778</v>
      </c>
      <c r="F22" s="61">
        <v>9</v>
      </c>
      <c r="G22" s="60">
        <v>30.67</v>
      </c>
      <c r="H22" s="59" t="s">
        <v>128</v>
      </c>
      <c r="I22" s="101">
        <v>2.51</v>
      </c>
      <c r="J22" s="45">
        <v>3.27</v>
      </c>
      <c r="K22" s="45">
        <v>2.93</v>
      </c>
      <c r="L22" s="45">
        <v>3.34</v>
      </c>
      <c r="M22" s="45">
        <v>2.51</v>
      </c>
      <c r="N22" s="45">
        <v>3.42</v>
      </c>
      <c r="O22" s="45">
        <v>4.67</v>
      </c>
      <c r="P22" s="45">
        <v>3.42</v>
      </c>
      <c r="Q22" s="45">
        <v>2.23</v>
      </c>
      <c r="R22" s="45">
        <v>2.37</v>
      </c>
      <c r="S22" s="45">
        <f t="shared" si="2"/>
        <v>30.67</v>
      </c>
    </row>
    <row r="23" ht="30" spans="1:19">
      <c r="A23" s="52" t="s">
        <v>57</v>
      </c>
      <c r="B23" s="53" t="s">
        <v>58</v>
      </c>
      <c r="C23" s="54">
        <v>3.6</v>
      </c>
      <c r="D23" s="43">
        <f t="shared" si="1"/>
        <v>0</v>
      </c>
      <c r="E23" s="55">
        <f t="shared" si="3"/>
        <v>3.6</v>
      </c>
      <c r="F23" s="56">
        <v>1</v>
      </c>
      <c r="G23" s="55">
        <v>3.6</v>
      </c>
      <c r="H23" s="54" t="s">
        <v>129</v>
      </c>
      <c r="I23" s="101">
        <v>0</v>
      </c>
      <c r="J23" s="45">
        <f>(40*1000)/100000</f>
        <v>0.4</v>
      </c>
      <c r="K23" s="45">
        <f t="shared" ref="K23:R23" si="5">(40*1000)/100000</f>
        <v>0.4</v>
      </c>
      <c r="L23" s="45">
        <f t="shared" si="5"/>
        <v>0.4</v>
      </c>
      <c r="M23" s="45">
        <f t="shared" si="5"/>
        <v>0.4</v>
      </c>
      <c r="N23" s="45">
        <f t="shared" si="5"/>
        <v>0.4</v>
      </c>
      <c r="O23" s="45">
        <f t="shared" si="5"/>
        <v>0.4</v>
      </c>
      <c r="P23" s="45">
        <f t="shared" si="5"/>
        <v>0.4</v>
      </c>
      <c r="Q23" s="45">
        <f t="shared" si="5"/>
        <v>0.4</v>
      </c>
      <c r="R23" s="45">
        <f t="shared" si="5"/>
        <v>0.4</v>
      </c>
      <c r="S23" s="45">
        <f t="shared" si="2"/>
        <v>3.6</v>
      </c>
    </row>
    <row r="24" ht="60" spans="1:19">
      <c r="A24" s="52" t="s">
        <v>59</v>
      </c>
      <c r="B24" s="53" t="s">
        <v>60</v>
      </c>
      <c r="C24" s="54">
        <v>29.24</v>
      </c>
      <c r="D24" s="43">
        <f t="shared" si="1"/>
        <v>-5.55</v>
      </c>
      <c r="E24" s="55">
        <f t="shared" si="3"/>
        <v>23.69</v>
      </c>
      <c r="F24" s="56">
        <v>1</v>
      </c>
      <c r="G24" s="55">
        <v>23.69</v>
      </c>
      <c r="H24" s="54" t="s">
        <v>130</v>
      </c>
      <c r="I24" s="101">
        <v>23.69</v>
      </c>
      <c r="J24" s="45">
        <v>0</v>
      </c>
      <c r="K24" s="45">
        <v>0</v>
      </c>
      <c r="L24" s="45">
        <v>0</v>
      </c>
      <c r="M24" s="45">
        <v>0</v>
      </c>
      <c r="N24" s="45">
        <v>0</v>
      </c>
      <c r="O24" s="45">
        <v>0</v>
      </c>
      <c r="P24" s="45">
        <v>0</v>
      </c>
      <c r="Q24" s="45">
        <v>0</v>
      </c>
      <c r="R24" s="45">
        <v>0</v>
      </c>
      <c r="S24" s="45">
        <f t="shared" si="2"/>
        <v>23.69</v>
      </c>
    </row>
    <row r="25" ht="120" spans="1:19">
      <c r="A25" s="52" t="s">
        <v>61</v>
      </c>
      <c r="B25" s="53" t="s">
        <v>62</v>
      </c>
      <c r="C25" s="54">
        <v>19.12</v>
      </c>
      <c r="D25" s="43">
        <f t="shared" si="1"/>
        <v>-1.12</v>
      </c>
      <c r="E25" s="55">
        <f t="shared" si="3"/>
        <v>4.5</v>
      </c>
      <c r="F25" s="56">
        <v>4</v>
      </c>
      <c r="G25" s="55">
        <v>18</v>
      </c>
      <c r="H25" s="54" t="s">
        <v>131</v>
      </c>
      <c r="I25" s="101">
        <f>SUM(700000,240000,320000)/100000</f>
        <v>12.6</v>
      </c>
      <c r="J25" s="45">
        <f>(15000*4)/100000</f>
        <v>0.6</v>
      </c>
      <c r="K25" s="45">
        <f t="shared" ref="K25:R25" si="6">(15000*4)/100000</f>
        <v>0.6</v>
      </c>
      <c r="L25" s="45">
        <f t="shared" si="6"/>
        <v>0.6</v>
      </c>
      <c r="M25" s="45">
        <f t="shared" si="6"/>
        <v>0.6</v>
      </c>
      <c r="N25" s="45">
        <f t="shared" si="6"/>
        <v>0.6</v>
      </c>
      <c r="O25" s="45">
        <f t="shared" si="6"/>
        <v>0.6</v>
      </c>
      <c r="P25" s="45">
        <f t="shared" si="6"/>
        <v>0.6</v>
      </c>
      <c r="Q25" s="45">
        <f t="shared" si="6"/>
        <v>0.6</v>
      </c>
      <c r="R25" s="45">
        <f t="shared" si="6"/>
        <v>0.6</v>
      </c>
      <c r="S25" s="45">
        <f t="shared" si="2"/>
        <v>18</v>
      </c>
    </row>
    <row r="26" ht="150" spans="1:19">
      <c r="A26" s="41" t="s">
        <v>63</v>
      </c>
      <c r="B26" s="42" t="s">
        <v>64</v>
      </c>
      <c r="C26" s="43">
        <v>49.92</v>
      </c>
      <c r="D26" s="43">
        <f t="shared" si="1"/>
        <v>18.49</v>
      </c>
      <c r="E26" s="65">
        <f t="shared" si="3"/>
        <v>13.682</v>
      </c>
      <c r="F26" s="45">
        <v>5</v>
      </c>
      <c r="G26" s="44">
        <v>68.41</v>
      </c>
      <c r="H26" s="43" t="s">
        <v>132</v>
      </c>
      <c r="I26" s="101">
        <v>44.38</v>
      </c>
      <c r="J26" s="45">
        <v>2.43</v>
      </c>
      <c r="K26" s="45">
        <v>2.43</v>
      </c>
      <c r="L26" s="45">
        <v>2.97</v>
      </c>
      <c r="M26" s="45">
        <v>2.43</v>
      </c>
      <c r="N26" s="45">
        <v>3.51</v>
      </c>
      <c r="O26" s="45">
        <v>2.97</v>
      </c>
      <c r="P26" s="45">
        <v>2.43</v>
      </c>
      <c r="Q26" s="45">
        <v>2.43</v>
      </c>
      <c r="R26" s="45">
        <v>2.43</v>
      </c>
      <c r="S26" s="45">
        <f t="shared" si="2"/>
        <v>68.41</v>
      </c>
    </row>
    <row r="27" ht="60" spans="1:19">
      <c r="A27" s="52" t="s">
        <v>65</v>
      </c>
      <c r="B27" s="53" t="s">
        <v>66</v>
      </c>
      <c r="C27" s="54">
        <v>13.2</v>
      </c>
      <c r="D27" s="43">
        <f t="shared" si="1"/>
        <v>54.42</v>
      </c>
      <c r="E27" s="55">
        <f t="shared" si="3"/>
        <v>22.54</v>
      </c>
      <c r="F27" s="56">
        <v>3</v>
      </c>
      <c r="G27" s="55">
        <v>67.62</v>
      </c>
      <c r="H27" s="54" t="s">
        <v>133</v>
      </c>
      <c r="I27" s="101">
        <v>41.58</v>
      </c>
      <c r="J27" s="45">
        <v>2.76</v>
      </c>
      <c r="K27" s="45">
        <v>2.76</v>
      </c>
      <c r="L27" s="45">
        <v>3.06</v>
      </c>
      <c r="M27" s="45">
        <v>2.76</v>
      </c>
      <c r="N27" s="45">
        <v>3.36</v>
      </c>
      <c r="O27" s="45">
        <v>3.06</v>
      </c>
      <c r="P27" s="45">
        <v>2.76</v>
      </c>
      <c r="Q27" s="45">
        <v>2.76</v>
      </c>
      <c r="R27" s="45">
        <v>2.76</v>
      </c>
      <c r="S27" s="45">
        <f t="shared" si="2"/>
        <v>67.62</v>
      </c>
    </row>
    <row r="28" ht="60" spans="1:19">
      <c r="A28" s="41" t="s">
        <v>67</v>
      </c>
      <c r="B28" s="42" t="s">
        <v>68</v>
      </c>
      <c r="C28" s="43">
        <v>12.2</v>
      </c>
      <c r="D28" s="43">
        <f t="shared" si="1"/>
        <v>11.49</v>
      </c>
      <c r="E28" s="65">
        <f t="shared" si="3"/>
        <v>5.9225</v>
      </c>
      <c r="F28" s="45">
        <v>4</v>
      </c>
      <c r="G28" s="44">
        <v>23.69</v>
      </c>
      <c r="H28" s="43" t="s">
        <v>134</v>
      </c>
      <c r="I28" s="101">
        <v>0</v>
      </c>
      <c r="J28" s="45">
        <v>0</v>
      </c>
      <c r="K28" s="45">
        <v>0</v>
      </c>
      <c r="L28" s="45">
        <v>0</v>
      </c>
      <c r="M28" s="45">
        <v>0</v>
      </c>
      <c r="N28" s="45">
        <v>0</v>
      </c>
      <c r="O28" s="45">
        <v>23.69</v>
      </c>
      <c r="P28" s="45">
        <v>0</v>
      </c>
      <c r="Q28" s="45">
        <v>0</v>
      </c>
      <c r="R28" s="45">
        <v>0</v>
      </c>
      <c r="S28" s="45">
        <f t="shared" si="2"/>
        <v>23.69</v>
      </c>
    </row>
    <row r="29" ht="45" spans="1:19">
      <c r="A29" s="41" t="s">
        <v>69</v>
      </c>
      <c r="B29" s="42" t="s">
        <v>70</v>
      </c>
      <c r="C29" s="43">
        <v>20.1</v>
      </c>
      <c r="D29" s="43">
        <f t="shared" si="1"/>
        <v>0.899999999999999</v>
      </c>
      <c r="E29" s="65">
        <f t="shared" si="3"/>
        <v>10.5</v>
      </c>
      <c r="F29" s="45">
        <v>2</v>
      </c>
      <c r="G29" s="44">
        <v>21</v>
      </c>
      <c r="H29" s="43" t="s">
        <v>135</v>
      </c>
      <c r="I29" s="101">
        <v>12</v>
      </c>
      <c r="J29" s="45">
        <v>1</v>
      </c>
      <c r="K29" s="45">
        <v>1</v>
      </c>
      <c r="L29" s="45">
        <v>1</v>
      </c>
      <c r="M29" s="45">
        <v>1</v>
      </c>
      <c r="N29" s="45">
        <v>1</v>
      </c>
      <c r="O29" s="45">
        <v>1</v>
      </c>
      <c r="P29" s="45">
        <v>1</v>
      </c>
      <c r="Q29" s="45">
        <v>1</v>
      </c>
      <c r="R29" s="45">
        <v>1</v>
      </c>
      <c r="S29" s="45">
        <f t="shared" si="2"/>
        <v>21</v>
      </c>
    </row>
    <row r="30" ht="135" spans="1:19">
      <c r="A30" s="52" t="s">
        <v>71</v>
      </c>
      <c r="B30" s="53" t="s">
        <v>72</v>
      </c>
      <c r="C30" s="54">
        <v>8.99</v>
      </c>
      <c r="D30" s="43">
        <f t="shared" si="1"/>
        <v>0</v>
      </c>
      <c r="E30" s="55">
        <f t="shared" si="3"/>
        <v>2.2475</v>
      </c>
      <c r="F30" s="56">
        <v>4</v>
      </c>
      <c r="G30" s="55">
        <v>8.99</v>
      </c>
      <c r="H30" s="54" t="s">
        <v>136</v>
      </c>
      <c r="I30" s="101">
        <v>2.43</v>
      </c>
      <c r="J30" s="45">
        <v>0.88</v>
      </c>
      <c r="K30" s="45">
        <v>0.88</v>
      </c>
      <c r="L30" s="45">
        <v>0.66</v>
      </c>
      <c r="M30" s="45">
        <v>0.64</v>
      </c>
      <c r="N30" s="45">
        <v>0.68</v>
      </c>
      <c r="O30" s="45">
        <v>0.9</v>
      </c>
      <c r="P30" s="45">
        <v>0.64</v>
      </c>
      <c r="Q30" s="45">
        <v>0.64</v>
      </c>
      <c r="R30" s="45">
        <v>0.64</v>
      </c>
      <c r="S30" s="45">
        <f t="shared" si="2"/>
        <v>8.99</v>
      </c>
    </row>
    <row r="31" ht="150" spans="1:19">
      <c r="A31" s="41" t="s">
        <v>73</v>
      </c>
      <c r="B31" s="81" t="s">
        <v>74</v>
      </c>
      <c r="C31" s="82">
        <v>0</v>
      </c>
      <c r="D31" s="43">
        <f t="shared" si="1"/>
        <v>70</v>
      </c>
      <c r="E31" s="65">
        <f t="shared" si="3"/>
        <v>70</v>
      </c>
      <c r="F31" s="45">
        <v>1</v>
      </c>
      <c r="G31" s="44">
        <v>70</v>
      </c>
      <c r="H31" s="43" t="s">
        <v>137</v>
      </c>
      <c r="I31" s="101">
        <v>0</v>
      </c>
      <c r="J31" s="44">
        <v>0</v>
      </c>
      <c r="K31" s="44">
        <v>0</v>
      </c>
      <c r="L31" s="44">
        <v>0</v>
      </c>
      <c r="M31" s="44">
        <v>0</v>
      </c>
      <c r="N31" s="44">
        <f>70*17.4%</f>
        <v>12.18</v>
      </c>
      <c r="O31" s="44">
        <f>70*45.01%</f>
        <v>31.507</v>
      </c>
      <c r="P31" s="44">
        <f>70*19.33%</f>
        <v>13.531</v>
      </c>
      <c r="Q31" s="44">
        <f>70*18.26%</f>
        <v>12.782</v>
      </c>
      <c r="R31" s="44">
        <v>0</v>
      </c>
      <c r="S31" s="45">
        <f t="shared" si="2"/>
        <v>70</v>
      </c>
    </row>
    <row r="32" ht="30" spans="1:19">
      <c r="A32" s="41" t="s">
        <v>75</v>
      </c>
      <c r="B32" s="83" t="s">
        <v>77</v>
      </c>
      <c r="C32" s="82"/>
      <c r="D32" s="43"/>
      <c r="E32" s="65"/>
      <c r="F32" s="45"/>
      <c r="G32" s="44"/>
      <c r="H32" s="43"/>
      <c r="I32" s="101"/>
      <c r="J32" s="45"/>
      <c r="K32" s="45"/>
      <c r="L32" s="45"/>
      <c r="M32" s="45"/>
      <c r="N32" s="45"/>
      <c r="O32" s="45"/>
      <c r="P32" s="45"/>
      <c r="Q32" s="45"/>
      <c r="R32" s="45"/>
      <c r="S32" s="45"/>
    </row>
    <row r="33" spans="1:19">
      <c r="A33" s="41" t="str">
        <f>A32</f>
        <v>16.4.1.4.2</v>
      </c>
      <c r="B33" s="81" t="s">
        <v>78</v>
      </c>
      <c r="C33" s="82"/>
      <c r="D33" s="43"/>
      <c r="E33" s="65">
        <v>50400</v>
      </c>
      <c r="F33" s="45">
        <v>1</v>
      </c>
      <c r="G33" s="44">
        <f>(E33*F33*12)/100000</f>
        <v>6.048</v>
      </c>
      <c r="H33" s="43" t="s">
        <v>138</v>
      </c>
      <c r="I33" s="65">
        <f>G33</f>
        <v>6.048</v>
      </c>
      <c r="J33" s="45"/>
      <c r="K33" s="45"/>
      <c r="L33" s="45"/>
      <c r="M33" s="45"/>
      <c r="N33" s="45"/>
      <c r="O33" s="45"/>
      <c r="P33" s="45"/>
      <c r="Q33" s="45"/>
      <c r="R33" s="45"/>
      <c r="S33" s="45"/>
    </row>
    <row r="34" spans="1:19">
      <c r="A34" s="41" t="str">
        <f>A33</f>
        <v>16.4.1.4.2</v>
      </c>
      <c r="B34" s="81" t="s">
        <v>79</v>
      </c>
      <c r="C34" s="82"/>
      <c r="D34" s="43"/>
      <c r="E34" s="65">
        <v>42000</v>
      </c>
      <c r="F34" s="45">
        <v>1</v>
      </c>
      <c r="G34" s="44">
        <f>(E34*F34*12)/100000</f>
        <v>5.04</v>
      </c>
      <c r="H34" s="43" t="s">
        <v>139</v>
      </c>
      <c r="I34" s="65">
        <f>G34</f>
        <v>5.04</v>
      </c>
      <c r="J34" s="45"/>
      <c r="K34" s="45"/>
      <c r="L34" s="45"/>
      <c r="M34" s="45"/>
      <c r="N34" s="45"/>
      <c r="O34" s="45"/>
      <c r="P34" s="45"/>
      <c r="Q34" s="45"/>
      <c r="R34" s="45"/>
      <c r="S34" s="45"/>
    </row>
    <row r="35" spans="1:19">
      <c r="A35" s="41" t="str">
        <f t="shared" ref="A35:A37" si="7">A34</f>
        <v>16.4.1.4.2</v>
      </c>
      <c r="B35" s="81" t="s">
        <v>80</v>
      </c>
      <c r="C35" s="82"/>
      <c r="D35" s="43"/>
      <c r="E35" s="65">
        <v>44670</v>
      </c>
      <c r="F35" s="45">
        <v>1</v>
      </c>
      <c r="G35" s="44">
        <f>(E35*F35*12)/100000</f>
        <v>5.3604</v>
      </c>
      <c r="H35" s="43" t="s">
        <v>140</v>
      </c>
      <c r="I35" s="65">
        <f>G35</f>
        <v>5.3604</v>
      </c>
      <c r="J35" s="45"/>
      <c r="K35" s="45"/>
      <c r="L35" s="45"/>
      <c r="M35" s="45"/>
      <c r="N35" s="45"/>
      <c r="O35" s="45"/>
      <c r="P35" s="45"/>
      <c r="Q35" s="45"/>
      <c r="R35" s="45"/>
      <c r="S35" s="45"/>
    </row>
    <row r="36" spans="1:19">
      <c r="A36" s="41" t="str">
        <f t="shared" si="7"/>
        <v>16.4.1.4.2</v>
      </c>
      <c r="B36" s="81" t="s">
        <v>81</v>
      </c>
      <c r="C36" s="82"/>
      <c r="D36" s="43"/>
      <c r="E36" s="65">
        <v>44670</v>
      </c>
      <c r="F36" s="45">
        <v>1</v>
      </c>
      <c r="G36" s="44">
        <f>(E36*F36*12)/100000</f>
        <v>5.3604</v>
      </c>
      <c r="H36" s="43" t="s">
        <v>141</v>
      </c>
      <c r="I36" s="65">
        <f>G36</f>
        <v>5.3604</v>
      </c>
      <c r="J36" s="45"/>
      <c r="K36" s="45"/>
      <c r="L36" s="45"/>
      <c r="M36" s="45"/>
      <c r="N36" s="45"/>
      <c r="O36" s="45"/>
      <c r="P36" s="45"/>
      <c r="Q36" s="45"/>
      <c r="R36" s="45"/>
      <c r="S36" s="45"/>
    </row>
    <row r="37" spans="1:19">
      <c r="A37" s="41" t="str">
        <f t="shared" si="7"/>
        <v>16.4.1.4.2</v>
      </c>
      <c r="B37" s="81" t="s">
        <v>82</v>
      </c>
      <c r="C37" s="82"/>
      <c r="D37" s="43"/>
      <c r="E37" s="65">
        <v>56157</v>
      </c>
      <c r="F37" s="45">
        <v>1</v>
      </c>
      <c r="G37" s="44">
        <f>(E37*F37*12)/100000</f>
        <v>6.73884</v>
      </c>
      <c r="H37" s="43" t="s">
        <v>142</v>
      </c>
      <c r="I37" s="65">
        <f>G37</f>
        <v>6.73884</v>
      </c>
      <c r="J37" s="45"/>
      <c r="K37" s="45"/>
      <c r="L37" s="45"/>
      <c r="M37" s="45"/>
      <c r="N37" s="45"/>
      <c r="O37" s="45"/>
      <c r="P37" s="45"/>
      <c r="Q37" s="45"/>
      <c r="R37" s="45"/>
      <c r="S37" s="45"/>
    </row>
    <row r="38" spans="1:19">
      <c r="A38" s="41" t="s">
        <v>83</v>
      </c>
      <c r="B38" s="83" t="s">
        <v>84</v>
      </c>
      <c r="C38" s="82"/>
      <c r="D38" s="43"/>
      <c r="E38" s="65"/>
      <c r="F38" s="45"/>
      <c r="G38" s="44"/>
      <c r="H38" s="43"/>
      <c r="I38" s="101"/>
      <c r="J38" s="45"/>
      <c r="K38" s="45"/>
      <c r="L38" s="45"/>
      <c r="M38" s="45"/>
      <c r="N38" s="45"/>
      <c r="O38" s="45"/>
      <c r="P38" s="45"/>
      <c r="Q38" s="45"/>
      <c r="R38" s="45"/>
      <c r="S38" s="45"/>
    </row>
    <row r="39" ht="30" spans="1:19">
      <c r="A39" s="41" t="str">
        <f>A38</f>
        <v>16.4.1.4.7</v>
      </c>
      <c r="B39" s="81" t="s">
        <v>85</v>
      </c>
      <c r="C39" s="82"/>
      <c r="D39" s="43"/>
      <c r="E39" s="65">
        <v>25525</v>
      </c>
      <c r="F39" s="45">
        <v>1</v>
      </c>
      <c r="G39" s="44">
        <f>(E39*F39*12)/100000</f>
        <v>3.063</v>
      </c>
      <c r="H39" s="43" t="s">
        <v>143</v>
      </c>
      <c r="I39" s="65">
        <f>G39</f>
        <v>3.063</v>
      </c>
      <c r="J39" s="45"/>
      <c r="K39" s="45"/>
      <c r="L39" s="45"/>
      <c r="M39" s="45"/>
      <c r="N39" s="45"/>
      <c r="O39" s="45"/>
      <c r="P39" s="45"/>
      <c r="Q39" s="45"/>
      <c r="R39" s="45"/>
      <c r="S39" s="45"/>
    </row>
    <row r="40" ht="30" customHeight="1" spans="1:19">
      <c r="A40" s="41" t="s">
        <v>86</v>
      </c>
      <c r="B40" s="83" t="s">
        <v>87</v>
      </c>
      <c r="C40" s="82"/>
      <c r="D40" s="43"/>
      <c r="E40" s="65"/>
      <c r="F40" s="45"/>
      <c r="G40" s="44"/>
      <c r="H40" s="43"/>
      <c r="I40" s="101"/>
      <c r="J40" s="45"/>
      <c r="K40" s="45"/>
      <c r="L40" s="45"/>
      <c r="M40" s="45"/>
      <c r="N40" s="45"/>
      <c r="O40" s="45"/>
      <c r="P40" s="45"/>
      <c r="Q40" s="45"/>
      <c r="R40" s="45"/>
      <c r="S40" s="45"/>
    </row>
    <row r="41" ht="30" spans="1:19">
      <c r="A41" s="41" t="str">
        <f>A40</f>
        <v>16.4.1.4.8</v>
      </c>
      <c r="B41" s="81" t="s">
        <v>88</v>
      </c>
      <c r="C41" s="82"/>
      <c r="D41" s="43"/>
      <c r="E41" s="65">
        <v>22973</v>
      </c>
      <c r="F41" s="45">
        <v>2</v>
      </c>
      <c r="G41" s="44">
        <f>(E41*F41*12)/100000</f>
        <v>5.51352</v>
      </c>
      <c r="H41" s="43" t="s">
        <v>144</v>
      </c>
      <c r="I41" s="65">
        <f>G41</f>
        <v>5.51352</v>
      </c>
      <c r="J41" s="45"/>
      <c r="K41" s="45"/>
      <c r="L41" s="45"/>
      <c r="M41" s="45"/>
      <c r="N41" s="45"/>
      <c r="O41" s="45"/>
      <c r="P41" s="45"/>
      <c r="Q41" s="45"/>
      <c r="R41" s="45"/>
      <c r="S41" s="45"/>
    </row>
    <row r="42" ht="30" spans="1:19">
      <c r="A42" s="41" t="s">
        <v>89</v>
      </c>
      <c r="B42" s="83" t="s">
        <v>90</v>
      </c>
      <c r="C42" s="82"/>
      <c r="D42" s="43"/>
      <c r="E42" s="65"/>
      <c r="F42" s="65"/>
      <c r="G42" s="65"/>
      <c r="H42" s="65"/>
      <c r="I42" s="65"/>
      <c r="J42" s="45"/>
      <c r="K42" s="45"/>
      <c r="L42" s="45"/>
      <c r="M42" s="45"/>
      <c r="N42" s="45"/>
      <c r="O42" s="45"/>
      <c r="P42" s="45"/>
      <c r="Q42" s="45"/>
      <c r="R42" s="45"/>
      <c r="S42" s="45"/>
    </row>
    <row r="43" spans="1:19">
      <c r="A43" s="41" t="s">
        <v>89</v>
      </c>
      <c r="B43" s="81" t="s">
        <v>91</v>
      </c>
      <c r="C43" s="82"/>
      <c r="D43" s="43"/>
      <c r="E43" s="65">
        <v>44670</v>
      </c>
      <c r="F43" s="45">
        <v>8</v>
      </c>
      <c r="G43" s="44">
        <f>(E43*F43*12)/100000</f>
        <v>42.8832</v>
      </c>
      <c r="H43" s="43" t="s">
        <v>145</v>
      </c>
      <c r="I43" s="65"/>
      <c r="J43" s="44">
        <f>G43/8</f>
        <v>5.3604</v>
      </c>
      <c r="K43" s="44">
        <f>J43</f>
        <v>5.3604</v>
      </c>
      <c r="L43" s="44">
        <f t="shared" ref="L43:R43" si="8">K43</f>
        <v>5.3604</v>
      </c>
      <c r="M43" s="44">
        <f t="shared" si="8"/>
        <v>5.3604</v>
      </c>
      <c r="N43" s="44">
        <v>0</v>
      </c>
      <c r="O43" s="44">
        <f>M43</f>
        <v>5.3604</v>
      </c>
      <c r="P43" s="44">
        <f t="shared" si="8"/>
        <v>5.3604</v>
      </c>
      <c r="Q43" s="44">
        <f t="shared" si="8"/>
        <v>5.3604</v>
      </c>
      <c r="R43" s="44">
        <f t="shared" si="8"/>
        <v>5.3604</v>
      </c>
      <c r="S43" s="44">
        <f>SUM(J43:R43)</f>
        <v>42.8832</v>
      </c>
    </row>
    <row r="44" spans="1:19">
      <c r="A44" s="41" t="str">
        <f>A43</f>
        <v>16.4.2.2.2</v>
      </c>
      <c r="B44" s="81" t="str">
        <f>B43</f>
        <v>DVBD Consultant</v>
      </c>
      <c r="C44" s="82"/>
      <c r="D44" s="43"/>
      <c r="E44" s="65">
        <v>42543</v>
      </c>
      <c r="F44" s="45">
        <v>1</v>
      </c>
      <c r="G44" s="44">
        <f>(E44*F44*12)/100000</f>
        <v>5.10516</v>
      </c>
      <c r="H44" s="43" t="s">
        <v>146</v>
      </c>
      <c r="I44" s="65"/>
      <c r="J44" s="44">
        <v>0</v>
      </c>
      <c r="K44" s="44">
        <v>0</v>
      </c>
      <c r="L44" s="44">
        <v>0</v>
      </c>
      <c r="M44" s="44">
        <v>0</v>
      </c>
      <c r="N44" s="44">
        <v>5.11</v>
      </c>
      <c r="O44" s="44">
        <v>0</v>
      </c>
      <c r="P44" s="44">
        <v>0</v>
      </c>
      <c r="Q44" s="44">
        <v>0</v>
      </c>
      <c r="R44" s="44">
        <v>0</v>
      </c>
      <c r="S44" s="44">
        <f>SUM(J44:R44)</f>
        <v>5.11</v>
      </c>
    </row>
    <row r="45" spans="1:19">
      <c r="A45" s="41" t="s">
        <v>92</v>
      </c>
      <c r="B45" s="83" t="s">
        <v>84</v>
      </c>
      <c r="C45" s="82"/>
      <c r="D45" s="43"/>
      <c r="E45" s="65"/>
      <c r="F45" s="45"/>
      <c r="G45" s="44"/>
      <c r="H45" s="43"/>
      <c r="I45" s="101"/>
      <c r="J45" s="45"/>
      <c r="K45" s="45"/>
      <c r="L45" s="45"/>
      <c r="M45" s="45"/>
      <c r="N45" s="45"/>
      <c r="O45" s="45"/>
      <c r="P45" s="45"/>
      <c r="Q45" s="45"/>
      <c r="R45" s="45"/>
      <c r="S45" s="45"/>
    </row>
    <row r="46" ht="30" spans="1:19">
      <c r="A46" s="41" t="str">
        <f>A45</f>
        <v>16.4.3.2.6</v>
      </c>
      <c r="B46" s="81" t="s">
        <v>93</v>
      </c>
      <c r="C46" s="82"/>
      <c r="D46" s="43"/>
      <c r="E46" s="65">
        <v>17868</v>
      </c>
      <c r="F46" s="45">
        <v>9</v>
      </c>
      <c r="G46" s="44">
        <f>(E46*F46*12)/100000</f>
        <v>19.29744</v>
      </c>
      <c r="H46" s="43" t="s">
        <v>147</v>
      </c>
      <c r="I46" s="65"/>
      <c r="J46" s="44">
        <f>G46/9</f>
        <v>2.14416</v>
      </c>
      <c r="K46" s="44">
        <f>J46</f>
        <v>2.14416</v>
      </c>
      <c r="L46" s="44">
        <f t="shared" ref="L46:R46" si="9">K46</f>
        <v>2.14416</v>
      </c>
      <c r="M46" s="44">
        <f t="shared" si="9"/>
        <v>2.14416</v>
      </c>
      <c r="N46" s="44">
        <f t="shared" si="9"/>
        <v>2.14416</v>
      </c>
      <c r="O46" s="44">
        <f t="shared" si="9"/>
        <v>2.14416</v>
      </c>
      <c r="P46" s="44">
        <f t="shared" si="9"/>
        <v>2.14416</v>
      </c>
      <c r="Q46" s="44">
        <f t="shared" si="9"/>
        <v>2.14416</v>
      </c>
      <c r="R46" s="44">
        <f t="shared" si="9"/>
        <v>2.14416</v>
      </c>
      <c r="S46" s="44">
        <f>SUM(J46:R46)</f>
        <v>19.29744</v>
      </c>
    </row>
    <row r="47" spans="1:19">
      <c r="A47" s="41" t="s">
        <v>94</v>
      </c>
      <c r="B47" s="83" t="s">
        <v>95</v>
      </c>
      <c r="C47" s="82"/>
      <c r="D47" s="43"/>
      <c r="E47" s="65"/>
      <c r="F47" s="45"/>
      <c r="G47" s="44"/>
      <c r="H47" s="43"/>
      <c r="I47" s="101"/>
      <c r="J47" s="45"/>
      <c r="K47" s="45"/>
      <c r="L47" s="45"/>
      <c r="M47" s="45"/>
      <c r="N47" s="45"/>
      <c r="O47" s="45"/>
      <c r="P47" s="45"/>
      <c r="Q47" s="45"/>
      <c r="R47" s="45"/>
      <c r="S47" s="45"/>
    </row>
    <row r="48" ht="30" spans="1:19">
      <c r="A48" s="41" t="str">
        <f>A47</f>
        <v>16.4.2.2.7</v>
      </c>
      <c r="B48" s="81" t="s">
        <v>96</v>
      </c>
      <c r="C48" s="82"/>
      <c r="D48" s="43"/>
      <c r="E48" s="65">
        <v>15435</v>
      </c>
      <c r="F48" s="45">
        <v>2</v>
      </c>
      <c r="G48" s="44">
        <f t="shared" ref="G48:G55" si="10">(E48*F48*12)/100000</f>
        <v>3.7044</v>
      </c>
      <c r="H48" s="43" t="s">
        <v>148</v>
      </c>
      <c r="I48" s="101"/>
      <c r="J48" s="44">
        <f>G48/2</f>
        <v>1.8522</v>
      </c>
      <c r="K48" s="44">
        <v>0</v>
      </c>
      <c r="L48" s="44">
        <v>0</v>
      </c>
      <c r="M48" s="44">
        <v>0</v>
      </c>
      <c r="N48" s="44">
        <v>0</v>
      </c>
      <c r="O48" s="44">
        <f>J48</f>
        <v>1.8522</v>
      </c>
      <c r="P48" s="44">
        <v>0</v>
      </c>
      <c r="Q48" s="44">
        <v>0</v>
      </c>
      <c r="R48" s="44">
        <v>0</v>
      </c>
      <c r="S48" s="44">
        <f>SUM(J48:R48)</f>
        <v>3.7044</v>
      </c>
    </row>
    <row r="49" ht="29.25" customHeight="1" spans="1:19">
      <c r="A49" s="41" t="str">
        <f>A48</f>
        <v>16.4.2.2.7</v>
      </c>
      <c r="B49" s="81" t="str">
        <f>B48</f>
        <v>Malaria Technical Supervisors</v>
      </c>
      <c r="C49" s="82"/>
      <c r="D49" s="43"/>
      <c r="E49" s="65">
        <v>17017</v>
      </c>
      <c r="F49" s="45">
        <v>9</v>
      </c>
      <c r="G49" s="44">
        <f t="shared" si="10"/>
        <v>18.37836</v>
      </c>
      <c r="H49" s="43" t="s">
        <v>149</v>
      </c>
      <c r="I49" s="101"/>
      <c r="J49" s="44">
        <f>(E49*12*1)/100000</f>
        <v>2.04204</v>
      </c>
      <c r="K49" s="44">
        <f>J49</f>
        <v>2.04204</v>
      </c>
      <c r="L49" s="44">
        <f>K49</f>
        <v>2.04204</v>
      </c>
      <c r="M49" s="44">
        <f>L49</f>
        <v>2.04204</v>
      </c>
      <c r="N49" s="44">
        <f>M49*2</f>
        <v>4.08408</v>
      </c>
      <c r="O49" s="44">
        <f>N49/2</f>
        <v>2.04204</v>
      </c>
      <c r="P49" s="44">
        <f>O49</f>
        <v>2.04204</v>
      </c>
      <c r="Q49" s="44">
        <v>0</v>
      </c>
      <c r="R49" s="44">
        <f>P49</f>
        <v>2.04204</v>
      </c>
      <c r="S49" s="44">
        <f>SUM(J49:R49)</f>
        <v>18.37836</v>
      </c>
    </row>
    <row r="50" ht="30" customHeight="1" spans="1:19">
      <c r="A50" s="41" t="str">
        <f>A49</f>
        <v>16.4.2.2.7</v>
      </c>
      <c r="B50" s="81" t="str">
        <f>B49</f>
        <v>Malaria Technical Supervisors</v>
      </c>
      <c r="C50" s="82"/>
      <c r="D50" s="43"/>
      <c r="E50" s="65">
        <v>18239</v>
      </c>
      <c r="F50" s="45">
        <v>1</v>
      </c>
      <c r="G50" s="44">
        <f t="shared" si="10"/>
        <v>2.18868</v>
      </c>
      <c r="H50" s="43" t="s">
        <v>150</v>
      </c>
      <c r="I50" s="101"/>
      <c r="J50" s="44">
        <v>0</v>
      </c>
      <c r="K50" s="44">
        <v>0</v>
      </c>
      <c r="L50" s="44">
        <v>0</v>
      </c>
      <c r="M50" s="44">
        <v>0</v>
      </c>
      <c r="N50" s="44">
        <v>0</v>
      </c>
      <c r="O50" s="44">
        <v>0</v>
      </c>
      <c r="P50" s="44">
        <v>0</v>
      </c>
      <c r="Q50" s="44">
        <v>0</v>
      </c>
      <c r="R50" s="44">
        <f>G50</f>
        <v>2.18868</v>
      </c>
      <c r="S50" s="44">
        <f>SUM(J50:R50)</f>
        <v>2.18868</v>
      </c>
    </row>
    <row r="51" ht="30" spans="1:19">
      <c r="A51" s="41" t="str">
        <f>A50</f>
        <v>16.4.2.2.7</v>
      </c>
      <c r="B51" s="81" t="str">
        <f>B50</f>
        <v>Malaria Technical Supervisors</v>
      </c>
      <c r="C51" s="82"/>
      <c r="D51" s="43"/>
      <c r="E51" s="65">
        <v>22436</v>
      </c>
      <c r="F51" s="45">
        <v>3</v>
      </c>
      <c r="G51" s="44">
        <f t="shared" si="10"/>
        <v>8.07696</v>
      </c>
      <c r="H51" s="43" t="s">
        <v>151</v>
      </c>
      <c r="I51" s="101"/>
      <c r="J51" s="44">
        <v>0</v>
      </c>
      <c r="K51" s="44">
        <f>G51/3</f>
        <v>2.69232</v>
      </c>
      <c r="L51" s="44">
        <v>0</v>
      </c>
      <c r="M51" s="44">
        <f>K51</f>
        <v>2.69232</v>
      </c>
      <c r="N51" s="44">
        <v>0</v>
      </c>
      <c r="O51" s="44">
        <f>M51</f>
        <v>2.69232</v>
      </c>
      <c r="P51" s="44">
        <v>0</v>
      </c>
      <c r="Q51" s="44">
        <v>0</v>
      </c>
      <c r="R51" s="44">
        <v>0</v>
      </c>
      <c r="S51" s="44">
        <f t="shared" ref="S51:S55" si="11">SUM(J51:R51)</f>
        <v>8.07696</v>
      </c>
    </row>
    <row r="52" ht="30" spans="1:19">
      <c r="A52" s="41" t="str">
        <f t="shared" ref="A52:B55" si="12">A51</f>
        <v>16.4.2.2.7</v>
      </c>
      <c r="B52" s="81" t="str">
        <f t="shared" si="12"/>
        <v>Malaria Technical Supervisors</v>
      </c>
      <c r="C52" s="82"/>
      <c r="D52" s="43"/>
      <c r="E52" s="65">
        <v>16206</v>
      </c>
      <c r="F52" s="45">
        <v>2</v>
      </c>
      <c r="G52" s="44">
        <f t="shared" si="10"/>
        <v>3.88944</v>
      </c>
      <c r="H52" s="43" t="s">
        <v>152</v>
      </c>
      <c r="I52" s="101"/>
      <c r="J52" s="44">
        <v>0</v>
      </c>
      <c r="K52" s="44">
        <v>0</v>
      </c>
      <c r="L52" s="44">
        <v>0</v>
      </c>
      <c r="M52" s="44">
        <v>0</v>
      </c>
      <c r="N52" s="44">
        <f>G52/F52</f>
        <v>1.94472</v>
      </c>
      <c r="O52" s="44">
        <f>N52</f>
        <v>1.94472</v>
      </c>
      <c r="P52" s="44">
        <v>0</v>
      </c>
      <c r="Q52" s="44">
        <v>0</v>
      </c>
      <c r="R52" s="44">
        <v>0</v>
      </c>
      <c r="S52" s="44">
        <f t="shared" si="11"/>
        <v>3.88944</v>
      </c>
    </row>
    <row r="53" ht="30" spans="1:19">
      <c r="A53" s="41" t="str">
        <f t="shared" si="12"/>
        <v>16.4.2.2.7</v>
      </c>
      <c r="B53" s="81" t="str">
        <f t="shared" si="12"/>
        <v>Malaria Technical Supervisors</v>
      </c>
      <c r="C53" s="82"/>
      <c r="D53" s="43"/>
      <c r="E53" s="65">
        <v>19165</v>
      </c>
      <c r="F53" s="45">
        <v>1</v>
      </c>
      <c r="G53" s="44">
        <f t="shared" si="10"/>
        <v>2.2998</v>
      </c>
      <c r="H53" s="43" t="s">
        <v>153</v>
      </c>
      <c r="I53" s="101"/>
      <c r="J53" s="44">
        <v>0</v>
      </c>
      <c r="K53" s="44">
        <v>0</v>
      </c>
      <c r="L53" s="44">
        <v>0</v>
      </c>
      <c r="M53" s="44">
        <v>0</v>
      </c>
      <c r="N53" s="44">
        <v>0</v>
      </c>
      <c r="O53" s="44">
        <v>0</v>
      </c>
      <c r="P53" s="44">
        <v>0</v>
      </c>
      <c r="Q53" s="44">
        <f>G53</f>
        <v>2.2998</v>
      </c>
      <c r="R53" s="44">
        <v>0</v>
      </c>
      <c r="S53" s="44">
        <f t="shared" si="11"/>
        <v>2.2998</v>
      </c>
    </row>
    <row r="54" ht="30" spans="1:19">
      <c r="A54" s="41" t="str">
        <f t="shared" si="12"/>
        <v>16.4.2.2.7</v>
      </c>
      <c r="B54" s="81" t="str">
        <f t="shared" si="12"/>
        <v>Malaria Technical Supervisors</v>
      </c>
      <c r="C54" s="82"/>
      <c r="D54" s="43"/>
      <c r="E54" s="65">
        <v>18424</v>
      </c>
      <c r="F54" s="45">
        <v>2</v>
      </c>
      <c r="G54" s="44">
        <f t="shared" si="10"/>
        <v>4.42176</v>
      </c>
      <c r="H54" s="43" t="str">
        <f>H53</f>
        <v>Salary of 1 MTS inclusicves of 5%^ increment</v>
      </c>
      <c r="I54" s="101"/>
      <c r="J54" s="44">
        <v>0</v>
      </c>
      <c r="K54" s="44">
        <v>0</v>
      </c>
      <c r="L54" s="44">
        <v>0</v>
      </c>
      <c r="M54" s="44">
        <v>0</v>
      </c>
      <c r="N54" s="44">
        <v>0</v>
      </c>
      <c r="O54" s="44">
        <v>0</v>
      </c>
      <c r="P54" s="44">
        <f>Q54</f>
        <v>2.21088</v>
      </c>
      <c r="Q54" s="44">
        <f>G54/2</f>
        <v>2.21088</v>
      </c>
      <c r="R54" s="44">
        <v>0</v>
      </c>
      <c r="S54" s="44">
        <f t="shared" si="11"/>
        <v>4.42176</v>
      </c>
    </row>
    <row r="55" ht="30" spans="1:19">
      <c r="A55" s="41" t="str">
        <f t="shared" si="12"/>
        <v>16.4.2.2.7</v>
      </c>
      <c r="B55" s="81" t="str">
        <f t="shared" si="12"/>
        <v>Malaria Technical Supervisors</v>
      </c>
      <c r="C55" s="82"/>
      <c r="D55" s="43"/>
      <c r="E55" s="65">
        <v>18609</v>
      </c>
      <c r="F55" s="45">
        <v>2</v>
      </c>
      <c r="G55" s="44">
        <f t="shared" si="10"/>
        <v>4.46616</v>
      </c>
      <c r="H55" s="43" t="s">
        <v>154</v>
      </c>
      <c r="I55" s="101"/>
      <c r="J55" s="44">
        <v>0</v>
      </c>
      <c r="K55" s="44">
        <v>0</v>
      </c>
      <c r="L55" s="44">
        <f>G55</f>
        <v>4.46616</v>
      </c>
      <c r="M55" s="44">
        <v>0</v>
      </c>
      <c r="N55" s="44">
        <v>0</v>
      </c>
      <c r="O55" s="44">
        <v>0</v>
      </c>
      <c r="P55" s="44">
        <v>0</v>
      </c>
      <c r="Q55" s="44">
        <v>0</v>
      </c>
      <c r="R55" s="44">
        <v>0</v>
      </c>
      <c r="S55" s="44">
        <f t="shared" si="11"/>
        <v>4.46616</v>
      </c>
    </row>
    <row r="56" spans="1:19">
      <c r="A56" s="86" t="s">
        <v>97</v>
      </c>
      <c r="B56" s="86"/>
      <c r="C56" s="87">
        <v>1124</v>
      </c>
      <c r="D56" s="87">
        <f>G56-C56</f>
        <v>-256.89448</v>
      </c>
      <c r="E56" s="87">
        <f>D56/C56%</f>
        <v>-22.8553807829182</v>
      </c>
      <c r="F56" s="86"/>
      <c r="G56" s="87">
        <f>SUM(G3:G55)</f>
        <v>867.10552</v>
      </c>
      <c r="H56" s="86"/>
      <c r="I56" s="86">
        <f t="shared" ref="I56:S56" si="13">SUM(I3:I55)</f>
        <v>401.52416</v>
      </c>
      <c r="J56" s="87">
        <f t="shared" si="13"/>
        <v>39.2748</v>
      </c>
      <c r="K56" s="86">
        <f t="shared" si="13"/>
        <v>35.81492</v>
      </c>
      <c r="L56" s="86">
        <f t="shared" si="13"/>
        <v>36.89676</v>
      </c>
      <c r="M56" s="86">
        <f t="shared" si="13"/>
        <v>34.61492</v>
      </c>
      <c r="N56" s="86">
        <f t="shared" si="13"/>
        <v>66.36496</v>
      </c>
      <c r="O56" s="86">
        <f t="shared" si="13"/>
        <v>120.43684</v>
      </c>
      <c r="P56" s="86">
        <f t="shared" si="13"/>
        <v>55.68448</v>
      </c>
      <c r="Q56" s="86">
        <f t="shared" si="13"/>
        <v>47.12324</v>
      </c>
      <c r="R56" s="86">
        <f t="shared" si="13"/>
        <v>29.36128</v>
      </c>
      <c r="S56" s="86">
        <f t="shared" si="13"/>
        <v>829.9722</v>
      </c>
    </row>
    <row r="57" spans="1:19">
      <c r="A57" s="88" t="s">
        <v>155</v>
      </c>
      <c r="B57" s="89"/>
      <c r="C57" s="89"/>
      <c r="D57" s="89"/>
      <c r="E57" s="4"/>
      <c r="F57" s="4"/>
      <c r="G57" s="13">
        <f>G56-G58</f>
        <v>744.58552</v>
      </c>
      <c r="H57" s="13"/>
      <c r="I57" s="13">
        <f t="shared" ref="I57:S57" si="14">I56-I58</f>
        <v>321.22416</v>
      </c>
      <c r="J57" s="13">
        <f t="shared" si="14"/>
        <v>34.5788</v>
      </c>
      <c r="K57" s="13">
        <f t="shared" si="14"/>
        <v>31.11892</v>
      </c>
      <c r="L57" s="13">
        <f t="shared" si="14"/>
        <v>32.09276</v>
      </c>
      <c r="M57" s="13">
        <f t="shared" si="14"/>
        <v>30.15892</v>
      </c>
      <c r="N57" s="13">
        <f t="shared" si="14"/>
        <v>61.21296</v>
      </c>
      <c r="O57" s="13">
        <f t="shared" si="14"/>
        <v>115.39284</v>
      </c>
      <c r="P57" s="13">
        <f t="shared" si="14"/>
        <v>51.22848</v>
      </c>
      <c r="Q57" s="13">
        <f t="shared" si="14"/>
        <v>42.66724</v>
      </c>
      <c r="R57" s="13">
        <f t="shared" si="14"/>
        <v>24.90528</v>
      </c>
      <c r="S57" s="13">
        <f t="shared" si="14"/>
        <v>707.4562</v>
      </c>
    </row>
    <row r="58" spans="1:19">
      <c r="A58" s="88" t="s">
        <v>156</v>
      </c>
      <c r="B58" s="89"/>
      <c r="C58" s="89"/>
      <c r="D58" s="89"/>
      <c r="E58" s="4"/>
      <c r="F58" s="4"/>
      <c r="G58" s="13">
        <f>SUM(G8,G24,G25,G27,G30,G23)</f>
        <v>122.52</v>
      </c>
      <c r="H58" s="13"/>
      <c r="I58" s="13">
        <f t="shared" ref="I58:S58" si="15">SUM(I8,I24,I25,I27,I30,I23)</f>
        <v>80.3</v>
      </c>
      <c r="J58" s="13">
        <f t="shared" si="15"/>
        <v>4.696</v>
      </c>
      <c r="K58" s="13">
        <f t="shared" si="15"/>
        <v>4.696</v>
      </c>
      <c r="L58" s="13">
        <f t="shared" si="15"/>
        <v>4.804</v>
      </c>
      <c r="M58" s="13">
        <f t="shared" si="15"/>
        <v>4.456</v>
      </c>
      <c r="N58" s="13">
        <f t="shared" si="15"/>
        <v>5.152</v>
      </c>
      <c r="O58" s="13">
        <f t="shared" si="15"/>
        <v>5.044</v>
      </c>
      <c r="P58" s="13">
        <f t="shared" si="15"/>
        <v>4.456</v>
      </c>
      <c r="Q58" s="13">
        <f t="shared" si="15"/>
        <v>4.456</v>
      </c>
      <c r="R58" s="13">
        <f t="shared" si="15"/>
        <v>4.456</v>
      </c>
      <c r="S58" s="13">
        <f t="shared" si="15"/>
        <v>122.516</v>
      </c>
    </row>
    <row r="59" spans="1:19">
      <c r="A59" s="88" t="s">
        <v>157</v>
      </c>
      <c r="B59" s="89"/>
      <c r="C59" s="89"/>
      <c r="D59" s="89"/>
      <c r="E59" s="4"/>
      <c r="F59" s="4"/>
      <c r="G59" s="13">
        <f>SUM(G9:G17,G21:G22)</f>
        <v>288.28</v>
      </c>
      <c r="H59" s="13"/>
      <c r="I59" s="13">
        <f>SUM(I9:I17,I21:I22)</f>
        <v>184.88</v>
      </c>
      <c r="J59" s="13">
        <f t="shared" ref="J59:S59" si="16">SUM(J9:J17,J21:J22)</f>
        <v>12.77</v>
      </c>
      <c r="K59" s="13">
        <f t="shared" si="16"/>
        <v>12.09</v>
      </c>
      <c r="L59" s="13">
        <f t="shared" si="16"/>
        <v>13.23</v>
      </c>
      <c r="M59" s="13">
        <f t="shared" si="16"/>
        <v>9.45</v>
      </c>
      <c r="N59" s="13">
        <f t="shared" si="16"/>
        <v>11.21</v>
      </c>
      <c r="O59" s="13">
        <f t="shared" si="16"/>
        <v>16.24</v>
      </c>
      <c r="P59" s="13">
        <f t="shared" si="16"/>
        <v>11.37</v>
      </c>
      <c r="Q59" s="13">
        <f t="shared" si="16"/>
        <v>8.27</v>
      </c>
      <c r="R59" s="13">
        <f t="shared" si="16"/>
        <v>8.77</v>
      </c>
      <c r="S59" s="13">
        <f t="shared" si="16"/>
        <v>288.28</v>
      </c>
    </row>
    <row r="60" spans="1:19">
      <c r="A60" s="88" t="s">
        <v>158</v>
      </c>
      <c r="B60" s="89"/>
      <c r="C60" s="89"/>
      <c r="D60" s="89"/>
      <c r="E60" s="4"/>
      <c r="F60" s="4"/>
      <c r="G60" s="13">
        <f>G56-G59</f>
        <v>578.82552</v>
      </c>
      <c r="H60" s="13"/>
      <c r="I60" s="13">
        <f>I56-I59</f>
        <v>216.64416</v>
      </c>
      <c r="J60" s="13">
        <f t="shared" ref="J60:S60" si="17">J56-J59</f>
        <v>26.5048</v>
      </c>
      <c r="K60" s="13">
        <f t="shared" si="17"/>
        <v>23.72492</v>
      </c>
      <c r="L60" s="13">
        <f t="shared" si="17"/>
        <v>23.66676</v>
      </c>
      <c r="M60" s="13">
        <f t="shared" si="17"/>
        <v>25.16492</v>
      </c>
      <c r="N60" s="13">
        <f t="shared" si="17"/>
        <v>55.15496</v>
      </c>
      <c r="O60" s="13">
        <f t="shared" si="17"/>
        <v>104.19684</v>
      </c>
      <c r="P60" s="13">
        <f t="shared" si="17"/>
        <v>44.31448</v>
      </c>
      <c r="Q60" s="13">
        <f t="shared" si="17"/>
        <v>38.85324</v>
      </c>
      <c r="R60" s="13">
        <f t="shared" si="17"/>
        <v>20.59128</v>
      </c>
      <c r="S60" s="13">
        <f t="shared" si="17"/>
        <v>541.6922</v>
      </c>
    </row>
  </sheetData>
  <mergeCells count="4">
    <mergeCell ref="A57:B57"/>
    <mergeCell ref="A58:B58"/>
    <mergeCell ref="A59:B59"/>
    <mergeCell ref="A60:B60"/>
  </mergeCells>
  <pageMargins left="0.7" right="0.7" top="0.75" bottom="0.75" header="0.3" footer="0.3"/>
  <pageSetup paperSize="9" scale="58" orientation="portrait"/>
  <headerFooter/>
  <rowBreaks count="1" manualBreakCount="1">
    <brk id="25" max="18" man="1"/>
  </rowBreaks>
  <colBreaks count="1" manualBreakCount="1">
    <brk id="8"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
  <sheetViews>
    <sheetView workbookViewId="0">
      <selection activeCell="J12" sqref="J12"/>
    </sheetView>
  </sheetViews>
  <sheetFormatPr defaultColWidth="9" defaultRowHeight="15" outlineLevelRow="1"/>
  <sheetData>
    <row r="1" ht="47.25" spans="1:13">
      <c r="A1" s="95" t="s">
        <v>159</v>
      </c>
      <c r="B1" s="95" t="s">
        <v>160</v>
      </c>
      <c r="C1" s="96" t="s">
        <v>161</v>
      </c>
      <c r="D1" s="96" t="s">
        <v>5</v>
      </c>
      <c r="E1" s="96" t="s">
        <v>6</v>
      </c>
      <c r="F1" s="96" t="s">
        <v>7</v>
      </c>
      <c r="G1" s="96" t="s">
        <v>8</v>
      </c>
      <c r="H1" s="96" t="s">
        <v>9</v>
      </c>
      <c r="I1" s="96" t="s">
        <v>10</v>
      </c>
      <c r="J1" s="96" t="s">
        <v>11</v>
      </c>
      <c r="K1" s="96" t="s">
        <v>12</v>
      </c>
      <c r="L1" s="96" t="s">
        <v>13</v>
      </c>
      <c r="M1" s="96" t="s">
        <v>14</v>
      </c>
    </row>
    <row r="2" ht="15.75" spans="1:13">
      <c r="A2" s="97">
        <v>1</v>
      </c>
      <c r="B2" s="98" t="s">
        <v>0</v>
      </c>
      <c r="C2" s="99">
        <f>NVBDCP!D56</f>
        <v>606.68552</v>
      </c>
      <c r="D2" s="99" t="e">
        <f>NVBDCP!E56</f>
        <v>#REF!</v>
      </c>
      <c r="E2" s="99" t="e">
        <f>NVBDCP!F56</f>
        <v>#REF!</v>
      </c>
      <c r="F2" s="99" t="e">
        <f>NVBDCP!G56</f>
        <v>#REF!</v>
      </c>
      <c r="G2" s="99" t="e">
        <f>NVBDCP!H56</f>
        <v>#REF!</v>
      </c>
      <c r="H2" s="99" t="e">
        <f>NVBDCP!I56</f>
        <v>#REF!</v>
      </c>
      <c r="I2" s="99" t="e">
        <f>NVBDCP!J56</f>
        <v>#REF!</v>
      </c>
      <c r="J2" s="99" t="e">
        <f>NVBDCP!K56</f>
        <v>#REF!</v>
      </c>
      <c r="K2" s="99" t="e">
        <f>NVBDCP!L56</f>
        <v>#REF!</v>
      </c>
      <c r="L2" s="99" t="e">
        <f>NVBDCP!M56</f>
        <v>#REF!</v>
      </c>
      <c r="M2" s="99" t="e">
        <f>NVBDCP!N56</f>
        <v>#REF!</v>
      </c>
    </row>
  </sheetData>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6"/>
  <sheetViews>
    <sheetView zoomScale="85" zoomScaleNormal="85" workbookViewId="0">
      <selection activeCell="A56" sqref="$A56:$XFD56"/>
    </sheetView>
  </sheetViews>
  <sheetFormatPr defaultColWidth="9" defaultRowHeight="15"/>
  <cols>
    <col min="1" max="1" width="11" customWidth="1"/>
    <col min="3" max="3" width="81.5714285714286" customWidth="1"/>
  </cols>
  <sheetData>
    <row r="1" spans="1:14">
      <c r="A1" s="92" t="s">
        <v>0</v>
      </c>
      <c r="B1" s="92"/>
      <c r="C1" s="92"/>
      <c r="D1" s="92"/>
      <c r="E1" s="92"/>
      <c r="F1" s="92"/>
      <c r="G1" s="92"/>
      <c r="H1" s="92"/>
      <c r="I1" s="92"/>
      <c r="J1" s="92"/>
      <c r="K1" s="92"/>
      <c r="L1" s="92"/>
      <c r="M1" s="92"/>
      <c r="N1" s="92"/>
    </row>
    <row r="2" ht="45" spans="1:14">
      <c r="A2" s="93" t="s">
        <v>1</v>
      </c>
      <c r="B2" s="92" t="s">
        <v>2</v>
      </c>
      <c r="C2" s="92" t="s">
        <v>3</v>
      </c>
      <c r="D2" s="94" t="s">
        <v>4</v>
      </c>
      <c r="E2" s="94" t="s">
        <v>5</v>
      </c>
      <c r="F2" s="94" t="s">
        <v>6</v>
      </c>
      <c r="G2" s="94" t="s">
        <v>7</v>
      </c>
      <c r="H2" s="94" t="s">
        <v>8</v>
      </c>
      <c r="I2" s="94" t="s">
        <v>9</v>
      </c>
      <c r="J2" s="94" t="s">
        <v>10</v>
      </c>
      <c r="K2" s="94" t="s">
        <v>11</v>
      </c>
      <c r="L2" s="94" t="s">
        <v>12</v>
      </c>
      <c r="M2" s="94" t="s">
        <v>13</v>
      </c>
      <c r="N2" s="94" t="s">
        <v>14</v>
      </c>
    </row>
    <row r="3" spans="1:14">
      <c r="A3" s="4" t="str">
        <f>Summary!A3</f>
        <v>1.1.5.1</v>
      </c>
      <c r="B3" s="4" t="s">
        <v>0</v>
      </c>
      <c r="C3" s="4" t="str">
        <f>Summary!B3</f>
        <v>Dengue and Chikungunya Case Management</v>
      </c>
      <c r="D3" s="13">
        <f>Summary!G3</f>
        <v>2</v>
      </c>
      <c r="E3" s="4" t="e">
        <f>Summary!#REF!</f>
        <v>#REF!</v>
      </c>
      <c r="F3" s="4" t="e">
        <f>Summary!#REF!</f>
        <v>#REF!</v>
      </c>
      <c r="G3" s="4" t="e">
        <f>Summary!#REF!</f>
        <v>#REF!</v>
      </c>
      <c r="H3" s="4" t="e">
        <f>Summary!#REF!</f>
        <v>#REF!</v>
      </c>
      <c r="I3" s="4" t="e">
        <f>Summary!#REF!</f>
        <v>#REF!</v>
      </c>
      <c r="J3" s="4" t="e">
        <f>Summary!#REF!</f>
        <v>#REF!</v>
      </c>
      <c r="K3" s="4" t="e">
        <f>Summary!#REF!</f>
        <v>#REF!</v>
      </c>
      <c r="L3" s="4" t="e">
        <f>Summary!#REF!</f>
        <v>#REF!</v>
      </c>
      <c r="M3" s="4" t="e">
        <f>Summary!#REF!</f>
        <v>#REF!</v>
      </c>
      <c r="N3" s="4" t="e">
        <f>Summary!#REF!</f>
        <v>#REF!</v>
      </c>
    </row>
    <row r="4" spans="1:14">
      <c r="A4" s="4" t="str">
        <f>Summary!A5</f>
        <v>3.1.1.4.1</v>
      </c>
      <c r="B4" s="4" t="str">
        <f>B3</f>
        <v>NVBDCP</v>
      </c>
      <c r="C4" s="4" t="str">
        <f>Summary!B5</f>
        <v>ASHA Incentives Honorarium for Malaria</v>
      </c>
      <c r="D4" s="13">
        <f>Summary!G5</f>
        <v>55.21</v>
      </c>
      <c r="E4" s="4" t="e">
        <f>Summary!#REF!</f>
        <v>#REF!</v>
      </c>
      <c r="F4" s="4" t="e">
        <f>Summary!#REF!</f>
        <v>#REF!</v>
      </c>
      <c r="G4" s="4" t="e">
        <f>Summary!#REF!</f>
        <v>#REF!</v>
      </c>
      <c r="H4" s="4" t="e">
        <f>Summary!#REF!</f>
        <v>#REF!</v>
      </c>
      <c r="I4" s="4" t="e">
        <f>Summary!#REF!</f>
        <v>#REF!</v>
      </c>
      <c r="J4" s="4" t="e">
        <f>Summary!#REF!</f>
        <v>#REF!</v>
      </c>
      <c r="K4" s="4" t="e">
        <f>Summary!#REF!</f>
        <v>#REF!</v>
      </c>
      <c r="L4" s="4" t="e">
        <f>Summary!#REF!</f>
        <v>#REF!</v>
      </c>
      <c r="M4" s="4" t="e">
        <f>Summary!#REF!</f>
        <v>#REF!</v>
      </c>
      <c r="N4" s="4" t="e">
        <f>Summary!#REF!</f>
        <v>#REF!</v>
      </c>
    </row>
    <row r="5" spans="1:14">
      <c r="A5" s="4" t="str">
        <f>Summary!A6</f>
        <v>3.2.5.1.1</v>
      </c>
      <c r="B5" s="4" t="str">
        <f t="shared" ref="B5:B8" si="0">B4</f>
        <v>NVBDCP</v>
      </c>
      <c r="C5" s="4" t="str">
        <f>Summary!B6</f>
        <v>Operational Cost for Spray Wages</v>
      </c>
      <c r="D5" s="13">
        <f>Summary!G6</f>
        <v>36.26</v>
      </c>
      <c r="E5" s="4" t="e">
        <f>Summary!#REF!</f>
        <v>#REF!</v>
      </c>
      <c r="F5" s="4" t="e">
        <f>Summary!#REF!</f>
        <v>#REF!</v>
      </c>
      <c r="G5" s="4" t="e">
        <f>Summary!#REF!</f>
        <v>#REF!</v>
      </c>
      <c r="H5" s="4" t="e">
        <f>Summary!#REF!</f>
        <v>#REF!</v>
      </c>
      <c r="I5" s="4" t="e">
        <f>Summary!#REF!</f>
        <v>#REF!</v>
      </c>
      <c r="J5" s="4" t="e">
        <f>Summary!#REF!</f>
        <v>#REF!</v>
      </c>
      <c r="K5" s="4" t="e">
        <f>Summary!#REF!</f>
        <v>#REF!</v>
      </c>
      <c r="L5" s="4" t="e">
        <f>Summary!#REF!</f>
        <v>#REF!</v>
      </c>
      <c r="M5" s="4" t="e">
        <f>Summary!#REF!</f>
        <v>#REF!</v>
      </c>
      <c r="N5" s="4" t="e">
        <f>Summary!#REF!</f>
        <v>#REF!</v>
      </c>
    </row>
    <row r="6" spans="1:14">
      <c r="A6" s="4" t="str">
        <f>Summary!A7</f>
        <v>3.2.5.1.2</v>
      </c>
      <c r="B6" s="4" t="str">
        <f t="shared" si="0"/>
        <v>NVBDCP</v>
      </c>
      <c r="C6" s="4" t="str">
        <f>Summary!B7</f>
        <v>Operational Cost for IRS</v>
      </c>
      <c r="D6" s="13">
        <f>Summary!G7</f>
        <v>20.01</v>
      </c>
      <c r="E6" s="4" t="e">
        <f>Summary!#REF!</f>
        <v>#REF!</v>
      </c>
      <c r="F6" s="4" t="e">
        <f>Summary!#REF!</f>
        <v>#REF!</v>
      </c>
      <c r="G6" s="4" t="e">
        <f>Summary!#REF!</f>
        <v>#REF!</v>
      </c>
      <c r="H6" s="4" t="e">
        <f>Summary!#REF!</f>
        <v>#REF!</v>
      </c>
      <c r="I6" s="4" t="e">
        <f>Summary!#REF!</f>
        <v>#REF!</v>
      </c>
      <c r="J6" s="4" t="e">
        <f>Summary!#REF!</f>
        <v>#REF!</v>
      </c>
      <c r="K6" s="4" t="e">
        <f>Summary!#REF!</f>
        <v>#REF!</v>
      </c>
      <c r="L6" s="4" t="e">
        <f>Summary!#REF!</f>
        <v>#REF!</v>
      </c>
      <c r="M6" s="4" t="e">
        <f>Summary!#REF!</f>
        <v>#REF!</v>
      </c>
      <c r="N6" s="4" t="e">
        <f>Summary!#REF!</f>
        <v>#REF!</v>
      </c>
    </row>
    <row r="7" spans="1:14">
      <c r="A7" s="4" t="str">
        <f>Summary!A10</f>
        <v>3.2.5.2.1</v>
      </c>
      <c r="B7" s="4" t="str">
        <f t="shared" si="0"/>
        <v>NVBDCP</v>
      </c>
      <c r="C7" s="4" t="str">
        <f>Summary!B10</f>
        <v>Dengue and Chikungunya : Vector Control, Environmental Management Fogging Machine</v>
      </c>
      <c r="D7" s="13">
        <f>Summary!G10</f>
        <v>2</v>
      </c>
      <c r="E7" s="4" t="e">
        <f>Summary!#REF!</f>
        <v>#REF!</v>
      </c>
      <c r="F7" s="4" t="e">
        <f>Summary!#REF!</f>
        <v>#REF!</v>
      </c>
      <c r="G7" s="4" t="e">
        <f>Summary!#REF!</f>
        <v>#REF!</v>
      </c>
      <c r="H7" s="4" t="e">
        <f>Summary!#REF!</f>
        <v>#REF!</v>
      </c>
      <c r="I7" s="4" t="e">
        <f>Summary!#REF!</f>
        <v>#REF!</v>
      </c>
      <c r="J7" s="4" t="e">
        <f>Summary!#REF!</f>
        <v>#REF!</v>
      </c>
      <c r="K7" s="4" t="e">
        <f>Summary!#REF!</f>
        <v>#REF!</v>
      </c>
      <c r="L7" s="4" t="e">
        <f>Summary!#REF!</f>
        <v>#REF!</v>
      </c>
      <c r="M7" s="4" t="e">
        <f>Summary!#REF!</f>
        <v>#REF!</v>
      </c>
      <c r="N7" s="4" t="e">
        <f>Summary!#REF!</f>
        <v>#REF!</v>
      </c>
    </row>
    <row r="8" spans="1:14">
      <c r="A8" s="4" t="str">
        <f>Summary!A11</f>
        <v>6.1.2.2.c</v>
      </c>
      <c r="B8" s="4" t="str">
        <f t="shared" si="0"/>
        <v>NVBDCP</v>
      </c>
      <c r="C8" s="4" t="str">
        <f>Summary!B11</f>
        <v>Non Health Equiptment (NHP)-GFATM</v>
      </c>
      <c r="D8" s="13">
        <f>Summary!G11</f>
        <v>0.62</v>
      </c>
      <c r="E8" s="4" t="e">
        <f>Summary!#REF!</f>
        <v>#REF!</v>
      </c>
      <c r="F8" s="4" t="e">
        <f>Summary!#REF!</f>
        <v>#REF!</v>
      </c>
      <c r="G8" s="4" t="e">
        <f>Summary!#REF!</f>
        <v>#REF!</v>
      </c>
      <c r="H8" s="4" t="e">
        <f>Summary!#REF!</f>
        <v>#REF!</v>
      </c>
      <c r="I8" s="4" t="e">
        <f>Summary!#REF!</f>
        <v>#REF!</v>
      </c>
      <c r="J8" s="4" t="e">
        <f>Summary!#REF!</f>
        <v>#REF!</v>
      </c>
      <c r="K8" s="4" t="e">
        <f>Summary!#REF!</f>
        <v>#REF!</v>
      </c>
      <c r="L8" s="4" t="e">
        <f>Summary!#REF!</f>
        <v>#REF!</v>
      </c>
      <c r="M8" s="4" t="e">
        <f>Summary!#REF!</f>
        <v>#REF!</v>
      </c>
      <c r="N8" s="4" t="e">
        <f>Summary!#REF!</f>
        <v>#REF!</v>
      </c>
    </row>
    <row r="9" spans="1:14">
      <c r="A9" s="4" t="str">
        <f>Summary!A12</f>
        <v>6.2.12.1</v>
      </c>
      <c r="B9" s="4" t="s">
        <v>28</v>
      </c>
      <c r="C9" s="4" t="str">
        <f>Summary!B12</f>
        <v>Chloroquine Phosphate Tablet</v>
      </c>
      <c r="D9" s="13">
        <f>Summary!G12</f>
        <v>2.57</v>
      </c>
      <c r="E9" s="4" t="e">
        <f>Summary!#REF!</f>
        <v>#REF!</v>
      </c>
      <c r="F9" s="4" t="e">
        <f>Summary!#REF!</f>
        <v>#REF!</v>
      </c>
      <c r="G9" s="4" t="e">
        <f>Summary!#REF!</f>
        <v>#REF!</v>
      </c>
      <c r="H9" s="4" t="e">
        <f>Summary!#REF!</f>
        <v>#REF!</v>
      </c>
      <c r="I9" s="4" t="e">
        <f>Summary!#REF!</f>
        <v>#REF!</v>
      </c>
      <c r="J9" s="4" t="e">
        <f>Summary!#REF!</f>
        <v>#REF!</v>
      </c>
      <c r="K9" s="4" t="e">
        <f>Summary!#REF!</f>
        <v>#REF!</v>
      </c>
      <c r="L9" s="4" t="e">
        <f>Summary!#REF!</f>
        <v>#REF!</v>
      </c>
      <c r="M9" s="4" t="e">
        <f>Summary!#REF!</f>
        <v>#REF!</v>
      </c>
      <c r="N9" s="4" t="e">
        <f>Summary!#REF!</f>
        <v>#REF!</v>
      </c>
    </row>
    <row r="10" spans="1:14">
      <c r="A10" s="4" t="str">
        <f>Summary!A13</f>
        <v>6.2.12.2</v>
      </c>
      <c r="B10" s="4" t="s">
        <v>28</v>
      </c>
      <c r="C10" s="4" t="str">
        <f>Summary!B13</f>
        <v>Primaquine Tablet 2.5 mg</v>
      </c>
      <c r="D10" s="13">
        <f>Summary!G13</f>
        <v>1</v>
      </c>
      <c r="E10" s="4" t="e">
        <f>Summary!#REF!</f>
        <v>#REF!</v>
      </c>
      <c r="F10" s="4" t="e">
        <f>Summary!#REF!</f>
        <v>#REF!</v>
      </c>
      <c r="G10" s="4" t="e">
        <f>Summary!#REF!</f>
        <v>#REF!</v>
      </c>
      <c r="H10" s="4" t="e">
        <f>Summary!#REF!</f>
        <v>#REF!</v>
      </c>
      <c r="I10" s="4" t="e">
        <f>Summary!#REF!</f>
        <v>#REF!</v>
      </c>
      <c r="J10" s="4" t="e">
        <f>Summary!#REF!</f>
        <v>#REF!</v>
      </c>
      <c r="K10" s="4" t="e">
        <f>Summary!#REF!</f>
        <v>#REF!</v>
      </c>
      <c r="L10" s="4" t="e">
        <f>Summary!#REF!</f>
        <v>#REF!</v>
      </c>
      <c r="M10" s="4" t="e">
        <f>Summary!#REF!</f>
        <v>#REF!</v>
      </c>
      <c r="N10" s="4" t="e">
        <f>Summary!#REF!</f>
        <v>#REF!</v>
      </c>
    </row>
    <row r="11" spans="1:14">
      <c r="A11" s="4" t="str">
        <f>Summary!A14</f>
        <v>6.2.12.3</v>
      </c>
      <c r="B11" s="4" t="s">
        <v>28</v>
      </c>
      <c r="C11" s="4" t="str">
        <f>Summary!B14</f>
        <v>Primaquine tablets
7.5 mg</v>
      </c>
      <c r="D11" s="13">
        <f>Summary!G14</f>
        <v>2.53</v>
      </c>
      <c r="E11" s="4" t="e">
        <f>Summary!#REF!</f>
        <v>#REF!</v>
      </c>
      <c r="F11" s="4" t="e">
        <f>Summary!#REF!</f>
        <v>#REF!</v>
      </c>
      <c r="G11" s="4" t="e">
        <f>Summary!#REF!</f>
        <v>#REF!</v>
      </c>
      <c r="H11" s="4" t="e">
        <f>Summary!#REF!</f>
        <v>#REF!</v>
      </c>
      <c r="I11" s="4" t="e">
        <f>Summary!#REF!</f>
        <v>#REF!</v>
      </c>
      <c r="J11" s="4" t="e">
        <f>Summary!#REF!</f>
        <v>#REF!</v>
      </c>
      <c r="K11" s="4" t="e">
        <f>Summary!#REF!</f>
        <v>#REF!</v>
      </c>
      <c r="L11" s="4" t="e">
        <f>Summary!#REF!</f>
        <v>#REF!</v>
      </c>
      <c r="M11" s="4" t="e">
        <f>Summary!#REF!</f>
        <v>#REF!</v>
      </c>
      <c r="N11" s="4" t="e">
        <f>Summary!#REF!</f>
        <v>#REF!</v>
      </c>
    </row>
    <row r="12" spans="1:14">
      <c r="A12" s="4" t="str">
        <f>Summary!A15</f>
        <v>6.2.12.4</v>
      </c>
      <c r="B12" s="4" t="s">
        <v>28</v>
      </c>
      <c r="C12" s="4" t="str">
        <f>Summary!B15</f>
        <v>Quinine sulphate tablets</v>
      </c>
      <c r="D12" s="13">
        <f>Summary!G15</f>
        <v>0.35</v>
      </c>
      <c r="E12" s="4" t="e">
        <f>Summary!#REF!</f>
        <v>#REF!</v>
      </c>
      <c r="F12" s="4" t="e">
        <f>Summary!#REF!</f>
        <v>#REF!</v>
      </c>
      <c r="G12" s="4" t="e">
        <f>Summary!#REF!</f>
        <v>#REF!</v>
      </c>
      <c r="H12" s="4" t="e">
        <f>Summary!#REF!</f>
        <v>#REF!</v>
      </c>
      <c r="I12" s="4" t="e">
        <f>Summary!#REF!</f>
        <v>#REF!</v>
      </c>
      <c r="J12" s="4" t="e">
        <f>Summary!#REF!</f>
        <v>#REF!</v>
      </c>
      <c r="K12" s="4" t="e">
        <f>Summary!#REF!</f>
        <v>#REF!</v>
      </c>
      <c r="L12" s="4" t="e">
        <f>Summary!#REF!</f>
        <v>#REF!</v>
      </c>
      <c r="M12" s="4" t="e">
        <f>Summary!#REF!</f>
        <v>#REF!</v>
      </c>
      <c r="N12" s="4" t="e">
        <f>Summary!#REF!</f>
        <v>#REF!</v>
      </c>
    </row>
    <row r="13" spans="1:14">
      <c r="A13" s="4" t="str">
        <f>Summary!A16</f>
        <v>6.2.12.5</v>
      </c>
      <c r="B13" s="4" t="s">
        <v>28</v>
      </c>
      <c r="C13" s="4" t="str">
        <f>Summary!B16</f>
        <v>Quinine Injections and Artesunate Injection</v>
      </c>
      <c r="D13" s="13">
        <f>Summary!G16</f>
        <v>0.88</v>
      </c>
      <c r="E13" s="4" t="e">
        <f>Summary!#REF!</f>
        <v>#REF!</v>
      </c>
      <c r="F13" s="4" t="e">
        <f>Summary!#REF!</f>
        <v>#REF!</v>
      </c>
      <c r="G13" s="4" t="e">
        <f>Summary!#REF!</f>
        <v>#REF!</v>
      </c>
      <c r="H13" s="4" t="e">
        <f>Summary!#REF!</f>
        <v>#REF!</v>
      </c>
      <c r="I13" s="4" t="e">
        <f>Summary!#REF!</f>
        <v>#REF!</v>
      </c>
      <c r="J13" s="4" t="e">
        <f>Summary!#REF!</f>
        <v>#REF!</v>
      </c>
      <c r="K13" s="4" t="e">
        <f>Summary!#REF!</f>
        <v>#REF!</v>
      </c>
      <c r="L13" s="4" t="e">
        <f>Summary!#REF!</f>
        <v>#REF!</v>
      </c>
      <c r="M13" s="4" t="e">
        <f>Summary!#REF!</f>
        <v>#REF!</v>
      </c>
      <c r="N13" s="4" t="e">
        <f>Summary!#REF!</f>
        <v>#REF!</v>
      </c>
    </row>
    <row r="14" spans="1:14">
      <c r="A14" s="4" t="str">
        <f>Summary!A17</f>
        <v>6.2.12.8</v>
      </c>
      <c r="B14" s="4" t="s">
        <v>28</v>
      </c>
      <c r="C14" s="4" t="str">
        <f>Summary!B17</f>
        <v>Dengue NS1 antigen kit</v>
      </c>
      <c r="D14" s="13">
        <f>Summary!G17</f>
        <v>0.67</v>
      </c>
      <c r="E14" s="4" t="e">
        <f>Summary!#REF!</f>
        <v>#REF!</v>
      </c>
      <c r="F14" s="4" t="e">
        <f>Summary!#REF!</f>
        <v>#REF!</v>
      </c>
      <c r="G14" s="4" t="e">
        <f>Summary!#REF!</f>
        <v>#REF!</v>
      </c>
      <c r="H14" s="4" t="e">
        <f>Summary!#REF!</f>
        <v>#REF!</v>
      </c>
      <c r="I14" s="4" t="e">
        <f>Summary!#REF!</f>
        <v>#REF!</v>
      </c>
      <c r="J14" s="4" t="e">
        <f>Summary!#REF!</f>
        <v>#REF!</v>
      </c>
      <c r="K14" s="4" t="e">
        <f>Summary!#REF!</f>
        <v>#REF!</v>
      </c>
      <c r="L14" s="4" t="e">
        <f>Summary!#REF!</f>
        <v>#REF!</v>
      </c>
      <c r="M14" s="4" t="e">
        <f>Summary!#REF!</f>
        <v>#REF!</v>
      </c>
      <c r="N14" s="4" t="e">
        <f>Summary!#REF!</f>
        <v>#REF!</v>
      </c>
    </row>
    <row r="15" spans="1:14">
      <c r="A15" s="4" t="str">
        <f>Summary!A18</f>
        <v>6.2.12.12</v>
      </c>
      <c r="B15" s="4" t="s">
        <v>28</v>
      </c>
      <c r="C15" s="4" t="str">
        <f>Summary!B18</f>
        <v>RDT Malaria – bi-valent (For Non Project states)</v>
      </c>
      <c r="D15" s="13">
        <f>Summary!G18</f>
        <v>6.14</v>
      </c>
      <c r="E15" s="4" t="e">
        <f>Summary!#REF!</f>
        <v>#REF!</v>
      </c>
      <c r="F15" s="4" t="e">
        <f>Summary!#REF!</f>
        <v>#REF!</v>
      </c>
      <c r="G15" s="4" t="e">
        <f>Summary!#REF!</f>
        <v>#REF!</v>
      </c>
      <c r="H15" s="4" t="e">
        <f>Summary!#REF!</f>
        <v>#REF!</v>
      </c>
      <c r="I15" s="4" t="e">
        <f>Summary!#REF!</f>
        <v>#REF!</v>
      </c>
      <c r="J15" s="4" t="e">
        <f>Summary!#REF!</f>
        <v>#REF!</v>
      </c>
      <c r="K15" s="4" t="e">
        <f>Summary!#REF!</f>
        <v>#REF!</v>
      </c>
      <c r="L15" s="4" t="e">
        <f>Summary!#REF!</f>
        <v>#REF!</v>
      </c>
      <c r="M15" s="4" t="e">
        <f>Summary!#REF!</f>
        <v>#REF!</v>
      </c>
      <c r="N15" s="4" t="e">
        <f>Summary!#REF!</f>
        <v>#REF!</v>
      </c>
    </row>
    <row r="16" spans="1:14">
      <c r="A16" s="4" t="str">
        <f>Summary!A20</f>
        <v>6.2.12.17</v>
      </c>
      <c r="B16" s="4" t="s">
        <v>28</v>
      </c>
      <c r="C16" s="4" t="str">
        <f>Summary!B20</f>
        <v>Any others</v>
      </c>
      <c r="D16" s="13">
        <f>Summary!G20</f>
        <v>22.36</v>
      </c>
      <c r="E16" s="4" t="e">
        <f>Summary!#REF!</f>
        <v>#REF!</v>
      </c>
      <c r="F16" s="4" t="e">
        <f>Summary!#REF!</f>
        <v>#REF!</v>
      </c>
      <c r="G16" s="4" t="e">
        <f>Summary!#REF!</f>
        <v>#REF!</v>
      </c>
      <c r="H16" s="4" t="e">
        <f>Summary!#REF!</f>
        <v>#REF!</v>
      </c>
      <c r="I16" s="4" t="e">
        <f>Summary!#REF!</f>
        <v>#REF!</v>
      </c>
      <c r="J16" s="4" t="e">
        <f>Summary!#REF!</f>
        <v>#REF!</v>
      </c>
      <c r="K16" s="4" t="e">
        <f>Summary!#REF!</f>
        <v>#REF!</v>
      </c>
      <c r="L16" s="4" t="e">
        <f>Summary!#REF!</f>
        <v>#REF!</v>
      </c>
      <c r="M16" s="4" t="e">
        <f>Summary!#REF!</f>
        <v>#REF!</v>
      </c>
      <c r="N16" s="4" t="e">
        <f>Summary!#REF!</f>
        <v>#REF!</v>
      </c>
    </row>
    <row r="17" spans="1:14">
      <c r="A17" s="4" t="str">
        <f>Summary!A21</f>
        <v>8.4.10</v>
      </c>
      <c r="B17" s="4" t="s">
        <v>28</v>
      </c>
      <c r="C17" s="4" t="str">
        <f>Summary!B21</f>
        <v>Honorarium for 9 Sentinel Surveilance Hospital under NVBDCP</v>
      </c>
      <c r="D17" s="13">
        <f>Summary!G21</f>
        <v>8.64</v>
      </c>
      <c r="E17" s="4" t="e">
        <f>Summary!#REF!</f>
        <v>#REF!</v>
      </c>
      <c r="F17" s="4" t="e">
        <f>Summary!#REF!</f>
        <v>#REF!</v>
      </c>
      <c r="G17" s="4" t="e">
        <f>Summary!#REF!</f>
        <v>#REF!</v>
      </c>
      <c r="H17" s="4" t="e">
        <f>Summary!#REF!</f>
        <v>#REF!</v>
      </c>
      <c r="I17" s="4" t="e">
        <f>Summary!#REF!</f>
        <v>#REF!</v>
      </c>
      <c r="J17" s="4" t="e">
        <f>Summary!#REF!</f>
        <v>#REF!</v>
      </c>
      <c r="K17" s="4" t="e">
        <f>Summary!#REF!</f>
        <v>#REF!</v>
      </c>
      <c r="L17" s="4" t="e">
        <f>Summary!#REF!</f>
        <v>#REF!</v>
      </c>
      <c r="M17" s="4" t="e">
        <f>Summary!#REF!</f>
        <v>#REF!</v>
      </c>
      <c r="N17" s="4" t="e">
        <f>Summary!#REF!</f>
        <v>#REF!</v>
      </c>
    </row>
    <row r="18" spans="1:14">
      <c r="A18" s="4" t="str">
        <f>Summary!A22</f>
        <v>9.5.12.1</v>
      </c>
      <c r="B18" s="4" t="s">
        <v>0</v>
      </c>
      <c r="C18" s="4" t="str">
        <f>Summary!B22</f>
        <v>Training / Capacity Building</v>
      </c>
      <c r="D18" s="13">
        <f>Summary!G22</f>
        <v>47.54</v>
      </c>
      <c r="E18" s="4" t="e">
        <f>Summary!#REF!</f>
        <v>#REF!</v>
      </c>
      <c r="F18" s="4" t="e">
        <f>Summary!#REF!</f>
        <v>#REF!</v>
      </c>
      <c r="G18" s="4" t="e">
        <f>Summary!#REF!</f>
        <v>#REF!</v>
      </c>
      <c r="H18" s="4" t="e">
        <f>Summary!#REF!</f>
        <v>#REF!</v>
      </c>
      <c r="I18" s="4" t="e">
        <f>Summary!#REF!</f>
        <v>#REF!</v>
      </c>
      <c r="J18" s="4" t="e">
        <f>Summary!#REF!</f>
        <v>#REF!</v>
      </c>
      <c r="K18" s="4" t="e">
        <f>Summary!#REF!</f>
        <v>#REF!</v>
      </c>
      <c r="L18" s="4" t="e">
        <f>Summary!#REF!</f>
        <v>#REF!</v>
      </c>
      <c r="M18" s="4" t="e">
        <f>Summary!#REF!</f>
        <v>#REF!</v>
      </c>
      <c r="N18" s="4" t="e">
        <f>Summary!#REF!</f>
        <v>#REF!</v>
      </c>
    </row>
    <row r="19" spans="1:14">
      <c r="A19" s="4" t="str">
        <f>Summary!A23</f>
        <v>9.5.12.2</v>
      </c>
      <c r="B19" s="4" t="s">
        <v>0</v>
      </c>
      <c r="C19" s="4" t="str">
        <f>Summary!B23</f>
        <v>Training Workshop (Dengue &amp; Chikungunya)</v>
      </c>
      <c r="D19" s="13">
        <f>Summary!G23</f>
        <v>2</v>
      </c>
      <c r="E19" s="4" t="e">
        <f>Summary!#REF!</f>
        <v>#REF!</v>
      </c>
      <c r="F19" s="4" t="e">
        <f>Summary!#REF!</f>
        <v>#REF!</v>
      </c>
      <c r="G19" s="4" t="e">
        <f>Summary!#REF!</f>
        <v>#REF!</v>
      </c>
      <c r="H19" s="4" t="e">
        <f>Summary!#REF!</f>
        <v>#REF!</v>
      </c>
      <c r="I19" s="4" t="e">
        <f>Summary!#REF!</f>
        <v>#REF!</v>
      </c>
      <c r="J19" s="4" t="e">
        <f>Summary!#REF!</f>
        <v>#REF!</v>
      </c>
      <c r="K19" s="4" t="e">
        <f>Summary!#REF!</f>
        <v>#REF!</v>
      </c>
      <c r="L19" s="4" t="e">
        <f>Summary!#REF!</f>
        <v>#REF!</v>
      </c>
      <c r="M19" s="4" t="e">
        <f>Summary!#REF!</f>
        <v>#REF!</v>
      </c>
      <c r="N19" s="4" t="e">
        <f>Summary!#REF!</f>
        <v>#REF!</v>
      </c>
    </row>
    <row r="20" spans="1:14">
      <c r="A20" s="4" t="str">
        <f>Summary!A24</f>
        <v>10.3.1.2</v>
      </c>
      <c r="B20" s="4" t="s">
        <v>0</v>
      </c>
      <c r="C20" s="4" t="str">
        <f>Summary!B24</f>
        <v>Sentinel Surveilance Hospital Recurrence</v>
      </c>
      <c r="D20" s="13">
        <f>Summary!G24</f>
        <v>2</v>
      </c>
      <c r="E20" s="4" t="e">
        <f>Summary!#REF!</f>
        <v>#REF!</v>
      </c>
      <c r="F20" s="4" t="e">
        <f>Summary!#REF!</f>
        <v>#REF!</v>
      </c>
      <c r="G20" s="4" t="e">
        <f>Summary!#REF!</f>
        <v>#REF!</v>
      </c>
      <c r="H20" s="4" t="e">
        <f>Summary!#REF!</f>
        <v>#REF!</v>
      </c>
      <c r="I20" s="4" t="e">
        <f>Summary!#REF!</f>
        <v>#REF!</v>
      </c>
      <c r="J20" s="4" t="e">
        <f>Summary!#REF!</f>
        <v>#REF!</v>
      </c>
      <c r="K20" s="4" t="e">
        <f>Summary!#REF!</f>
        <v>#REF!</v>
      </c>
      <c r="L20" s="4" t="e">
        <f>Summary!#REF!</f>
        <v>#REF!</v>
      </c>
      <c r="M20" s="4" t="e">
        <f>Summary!#REF!</f>
        <v>#REF!</v>
      </c>
      <c r="N20" s="4" t="e">
        <f>Summary!#REF!</f>
        <v>#REF!</v>
      </c>
    </row>
    <row r="21" spans="1:14">
      <c r="A21" s="4" t="str">
        <f>Summary!A25</f>
        <v>11.15.1</v>
      </c>
      <c r="B21" s="4" t="s">
        <v>28</v>
      </c>
      <c r="C21" s="4" t="str">
        <f>Summary!B25</f>
        <v>IEC/ BCC for Malaria</v>
      </c>
      <c r="D21" s="13">
        <f>Summary!G25</f>
        <v>25.68</v>
      </c>
      <c r="E21" s="4" t="e">
        <f>Summary!#REF!</f>
        <v>#REF!</v>
      </c>
      <c r="F21" s="4" t="e">
        <f>Summary!#REF!</f>
        <v>#REF!</v>
      </c>
      <c r="G21" s="4" t="e">
        <f>Summary!#REF!</f>
        <v>#REF!</v>
      </c>
      <c r="H21" s="4" t="e">
        <f>Summary!#REF!</f>
        <v>#REF!</v>
      </c>
      <c r="I21" s="4" t="e">
        <f>Summary!#REF!</f>
        <v>#REF!</v>
      </c>
      <c r="J21" s="4" t="e">
        <f>Summary!#REF!</f>
        <v>#REF!</v>
      </c>
      <c r="K21" s="4" t="e">
        <f>Summary!#REF!</f>
        <v>#REF!</v>
      </c>
      <c r="L21" s="4" t="e">
        <f>Summary!#REF!</f>
        <v>#REF!</v>
      </c>
      <c r="M21" s="4" t="e">
        <f>Summary!#REF!</f>
        <v>#REF!</v>
      </c>
      <c r="N21" s="4" t="e">
        <f>Summary!#REF!</f>
        <v>#REF!</v>
      </c>
    </row>
    <row r="22" spans="1:14">
      <c r="A22" s="4" t="str">
        <f>Summary!A26</f>
        <v>11.15.2</v>
      </c>
      <c r="B22" s="4" t="s">
        <v>28</v>
      </c>
      <c r="C22" s="4" t="str">
        <f>Summary!B26</f>
        <v>IEC/BCC for Social Mobilization</v>
      </c>
      <c r="D22" s="13">
        <f>Summary!G26</f>
        <v>5</v>
      </c>
      <c r="E22" s="4" t="e">
        <f>Summary!#REF!</f>
        <v>#REF!</v>
      </c>
      <c r="F22" s="4" t="e">
        <f>Summary!#REF!</f>
        <v>#REF!</v>
      </c>
      <c r="G22" s="4" t="e">
        <f>Summary!#REF!</f>
        <v>#REF!</v>
      </c>
      <c r="H22" s="4" t="e">
        <f>Summary!#REF!</f>
        <v>#REF!</v>
      </c>
      <c r="I22" s="4" t="e">
        <f>Summary!#REF!</f>
        <v>#REF!</v>
      </c>
      <c r="J22" s="4" t="e">
        <f>Summary!#REF!</f>
        <v>#REF!</v>
      </c>
      <c r="K22" s="4" t="e">
        <f>Summary!#REF!</f>
        <v>#REF!</v>
      </c>
      <c r="L22" s="4" t="e">
        <f>Summary!#REF!</f>
        <v>#REF!</v>
      </c>
      <c r="M22" s="4" t="e">
        <f>Summary!#REF!</f>
        <v>#REF!</v>
      </c>
      <c r="N22" s="4" t="e">
        <f>Summary!#REF!</f>
        <v>#REF!</v>
      </c>
    </row>
    <row r="23" spans="1:14">
      <c r="A23" s="4" t="str">
        <f>Summary!A27</f>
        <v>11.15.6</v>
      </c>
      <c r="B23" s="4" t="s">
        <v>0</v>
      </c>
      <c r="C23" s="4" t="str">
        <f>Summary!B27</f>
        <v>IEC/BCC activities as per GFATM Project</v>
      </c>
      <c r="D23" s="13">
        <f>Summary!G27</f>
        <v>3.6</v>
      </c>
      <c r="E23" s="13" t="e">
        <f>Summary!#REF!</f>
        <v>#REF!</v>
      </c>
      <c r="F23" s="13" t="e">
        <f>Summary!#REF!</f>
        <v>#REF!</v>
      </c>
      <c r="G23" s="13" t="e">
        <f>Summary!#REF!</f>
        <v>#REF!</v>
      </c>
      <c r="H23" s="13" t="e">
        <f>Summary!#REF!</f>
        <v>#REF!</v>
      </c>
      <c r="I23" s="13" t="e">
        <f>Summary!#REF!</f>
        <v>#REF!</v>
      </c>
      <c r="J23" s="13" t="e">
        <f>Summary!#REF!</f>
        <v>#REF!</v>
      </c>
      <c r="K23" s="13" t="e">
        <f>Summary!#REF!</f>
        <v>#REF!</v>
      </c>
      <c r="L23" s="13" t="e">
        <f>Summary!#REF!</f>
        <v>#REF!</v>
      </c>
      <c r="M23" s="13" t="e">
        <f>Summary!#REF!</f>
        <v>#REF!</v>
      </c>
      <c r="N23" s="13" t="e">
        <f>Summary!#REF!</f>
        <v>#REF!</v>
      </c>
    </row>
    <row r="24" spans="1:14">
      <c r="A24" s="4" t="str">
        <f>Summary!A28</f>
        <v>12.11.2</v>
      </c>
      <c r="B24" s="4" t="s">
        <v>0</v>
      </c>
      <c r="C24" s="4" t="str">
        <f>Summary!B28</f>
        <v>Communication Materials and Publication Materials (CMP) - GFATM</v>
      </c>
      <c r="D24" s="13">
        <f>Summary!G28</f>
        <v>23.69</v>
      </c>
      <c r="E24" s="13" t="e">
        <f>Summary!#REF!</f>
        <v>#REF!</v>
      </c>
      <c r="F24" s="13" t="e">
        <f>Summary!#REF!</f>
        <v>#REF!</v>
      </c>
      <c r="G24" s="13" t="e">
        <f>Summary!#REF!</f>
        <v>#REF!</v>
      </c>
      <c r="H24" s="13" t="e">
        <f>Summary!#REF!</f>
        <v>#REF!</v>
      </c>
      <c r="I24" s="13" t="e">
        <f>Summary!#REF!</f>
        <v>#REF!</v>
      </c>
      <c r="J24" s="13" t="e">
        <f>Summary!#REF!</f>
        <v>#REF!</v>
      </c>
      <c r="K24" s="13" t="e">
        <f>Summary!#REF!</f>
        <v>#REF!</v>
      </c>
      <c r="L24" s="13" t="e">
        <f>Summary!#REF!</f>
        <v>#REF!</v>
      </c>
      <c r="M24" s="13" t="e">
        <f>Summary!#REF!</f>
        <v>#REF!</v>
      </c>
      <c r="N24" s="13" t="e">
        <f>Summary!#REF!</f>
        <v>#REF!</v>
      </c>
    </row>
    <row r="25" spans="1:14">
      <c r="A25" s="4" t="str">
        <f>Summary!A32</f>
        <v>16.1.2.1.19</v>
      </c>
      <c r="B25" s="4" t="s">
        <v>0</v>
      </c>
      <c r="C25" s="4" t="str">
        <f>Summary!B32</f>
        <v>GFATM Review Meeting</v>
      </c>
      <c r="D25" s="13">
        <f>Summary!G32</f>
        <v>18</v>
      </c>
      <c r="E25" s="13" t="e">
        <f>Summary!#REF!</f>
        <v>#REF!</v>
      </c>
      <c r="F25" s="13" t="e">
        <f>Summary!#REF!</f>
        <v>#REF!</v>
      </c>
      <c r="G25" s="13" t="e">
        <f>Summary!#REF!</f>
        <v>#REF!</v>
      </c>
      <c r="H25" s="13" t="e">
        <f>Summary!#REF!</f>
        <v>#REF!</v>
      </c>
      <c r="I25" s="13" t="e">
        <f>Summary!#REF!</f>
        <v>#REF!</v>
      </c>
      <c r="J25" s="13" t="e">
        <f>Summary!#REF!</f>
        <v>#REF!</v>
      </c>
      <c r="K25" s="13" t="e">
        <f>Summary!#REF!</f>
        <v>#REF!</v>
      </c>
      <c r="L25" s="13" t="e">
        <f>Summary!#REF!</f>
        <v>#REF!</v>
      </c>
      <c r="M25" s="13" t="e">
        <f>Summary!#REF!</f>
        <v>#REF!</v>
      </c>
      <c r="N25" s="13" t="e">
        <f>Summary!#REF!</f>
        <v>#REF!</v>
      </c>
    </row>
    <row r="26" spans="1:14">
      <c r="A26" s="4" t="str">
        <f>Summary!A33</f>
        <v>16.1.2.2.5</v>
      </c>
      <c r="B26" s="4" t="s">
        <v>0</v>
      </c>
      <c r="C26" s="4" t="str">
        <f>Summary!B33</f>
        <v>Monitoring, Evaluation and Supervision</v>
      </c>
      <c r="D26" s="13">
        <f>Summary!G33</f>
        <v>26.69</v>
      </c>
      <c r="E26" s="13" t="e">
        <f>Summary!#REF!</f>
        <v>#REF!</v>
      </c>
      <c r="F26" s="13" t="e">
        <f>Summary!#REF!</f>
        <v>#REF!</v>
      </c>
      <c r="G26" s="13" t="e">
        <f>Summary!#REF!</f>
        <v>#REF!</v>
      </c>
      <c r="H26" s="13" t="e">
        <f>Summary!#REF!</f>
        <v>#REF!</v>
      </c>
      <c r="I26" s="13" t="e">
        <f>Summary!#REF!</f>
        <v>#REF!</v>
      </c>
      <c r="J26" s="13" t="e">
        <f>Summary!#REF!</f>
        <v>#REF!</v>
      </c>
      <c r="K26" s="13" t="e">
        <f>Summary!#REF!</f>
        <v>#REF!</v>
      </c>
      <c r="L26" s="13" t="e">
        <f>Summary!#REF!</f>
        <v>#REF!</v>
      </c>
      <c r="M26" s="13" t="e">
        <f>Summary!#REF!</f>
        <v>#REF!</v>
      </c>
      <c r="N26" s="13" t="e">
        <f>Summary!#REF!</f>
        <v>#REF!</v>
      </c>
    </row>
    <row r="27" spans="1:14">
      <c r="A27" s="4" t="str">
        <f>Summary!A34</f>
        <v>16.1.3.1.10</v>
      </c>
      <c r="B27" s="4" t="s">
        <v>0</v>
      </c>
      <c r="C27" s="4" t="str">
        <f>Summary!B34</f>
        <v>GFATM Project Travel Related Cost (TRC) - Mobility</v>
      </c>
      <c r="D27" s="13">
        <f>Summary!G34</f>
        <v>30.66</v>
      </c>
      <c r="E27" s="13" t="e">
        <f>Summary!#REF!</f>
        <v>#REF!</v>
      </c>
      <c r="F27" s="13" t="e">
        <f>Summary!#REF!</f>
        <v>#REF!</v>
      </c>
      <c r="G27" s="13" t="e">
        <f>Summary!#REF!</f>
        <v>#REF!</v>
      </c>
      <c r="H27" s="13" t="e">
        <f>Summary!#REF!</f>
        <v>#REF!</v>
      </c>
      <c r="I27" s="13" t="e">
        <f>Summary!#REF!</f>
        <v>#REF!</v>
      </c>
      <c r="J27" s="13" t="e">
        <f>Summary!#REF!</f>
        <v>#REF!</v>
      </c>
      <c r="K27" s="13" t="e">
        <f>Summary!#REF!</f>
        <v>#REF!</v>
      </c>
      <c r="L27" s="13" t="e">
        <f>Summary!#REF!</f>
        <v>#REF!</v>
      </c>
      <c r="M27" s="13" t="e">
        <f>Summary!#REF!</f>
        <v>#REF!</v>
      </c>
      <c r="N27" s="13" t="e">
        <f>Summary!#REF!</f>
        <v>#REF!</v>
      </c>
    </row>
    <row r="28" spans="1:14">
      <c r="A28" s="4" t="str">
        <f>Summary!A35</f>
        <v>16.1.3.2.1</v>
      </c>
      <c r="B28" s="4" t="s">
        <v>0</v>
      </c>
      <c r="C28" s="4" t="str">
        <f>Summary!B35</f>
        <v>Zonal Entomological Unit</v>
      </c>
      <c r="D28" s="13">
        <f>Summary!G35</f>
        <v>14.75</v>
      </c>
      <c r="E28" s="13" t="e">
        <f>Summary!#REF!</f>
        <v>#REF!</v>
      </c>
      <c r="F28" s="13" t="e">
        <f>Summary!#REF!</f>
        <v>#REF!</v>
      </c>
      <c r="G28" s="13" t="e">
        <f>Summary!#REF!</f>
        <v>#REF!</v>
      </c>
      <c r="H28" s="13" t="e">
        <f>Summary!#REF!</f>
        <v>#REF!</v>
      </c>
      <c r="I28" s="13" t="e">
        <f>Summary!#REF!</f>
        <v>#REF!</v>
      </c>
      <c r="J28" s="13" t="e">
        <f>Summary!#REF!</f>
        <v>#REF!</v>
      </c>
      <c r="K28" s="13" t="e">
        <f>Summary!#REF!</f>
        <v>#REF!</v>
      </c>
      <c r="L28" s="13" t="e">
        <f>Summary!#REF!</f>
        <v>#REF!</v>
      </c>
      <c r="M28" s="13" t="e">
        <f>Summary!#REF!</f>
        <v>#REF!</v>
      </c>
      <c r="N28" s="13" t="e">
        <f>Summary!#REF!</f>
        <v>#REF!</v>
      </c>
    </row>
    <row r="29" spans="1:14">
      <c r="A29" s="4" t="str">
        <f>Summary!A37</f>
        <v>16.1.4.2.3</v>
      </c>
      <c r="B29" s="4" t="s">
        <v>0</v>
      </c>
      <c r="C29" s="4" t="str">
        <f>Summary!B37</f>
        <v>Contingency Suport NVBDCP</v>
      </c>
      <c r="D29" s="13">
        <f>Summary!G37</f>
        <v>21</v>
      </c>
      <c r="E29" s="13" t="e">
        <f>Summary!#REF!</f>
        <v>#REF!</v>
      </c>
      <c r="F29" s="13" t="e">
        <f>Summary!#REF!</f>
        <v>#REF!</v>
      </c>
      <c r="G29" s="13" t="e">
        <f>Summary!#REF!</f>
        <v>#REF!</v>
      </c>
      <c r="H29" s="13" t="e">
        <f>Summary!#REF!</f>
        <v>#REF!</v>
      </c>
      <c r="I29" s="13" t="e">
        <f>Summary!#REF!</f>
        <v>#REF!</v>
      </c>
      <c r="J29" s="13" t="e">
        <f>Summary!#REF!</f>
        <v>#REF!</v>
      </c>
      <c r="K29" s="13" t="e">
        <f>Summary!#REF!</f>
        <v>#REF!</v>
      </c>
      <c r="L29" s="13" t="e">
        <f>Summary!#REF!</f>
        <v>#REF!</v>
      </c>
      <c r="M29" s="13" t="e">
        <f>Summary!#REF!</f>
        <v>#REF!</v>
      </c>
      <c r="N29" s="13" t="e">
        <f>Summary!#REF!</f>
        <v>#REF!</v>
      </c>
    </row>
    <row r="30" spans="1:14">
      <c r="A30" s="4" t="str">
        <f>Summary!A39</f>
        <v>16.1.5.2.7</v>
      </c>
      <c r="B30" s="4" t="s">
        <v>0</v>
      </c>
      <c r="C30" s="4" t="str">
        <f>Summary!B39</f>
        <v>Vehicle Maintenance</v>
      </c>
      <c r="D30" s="13">
        <f>Summary!G39</f>
        <v>3</v>
      </c>
      <c r="E30" s="13" t="e">
        <f>Summary!#REF!</f>
        <v>#REF!</v>
      </c>
      <c r="F30" s="13" t="e">
        <f>Summary!#REF!</f>
        <v>#REF!</v>
      </c>
      <c r="G30" s="13" t="e">
        <f>Summary!#REF!</f>
        <v>#REF!</v>
      </c>
      <c r="H30" s="13" t="e">
        <f>Summary!#REF!</f>
        <v>#REF!</v>
      </c>
      <c r="I30" s="13" t="e">
        <f>Summary!#REF!</f>
        <v>#REF!</v>
      </c>
      <c r="J30" s="13" t="e">
        <f>Summary!#REF!</f>
        <v>#REF!</v>
      </c>
      <c r="K30" s="13" t="e">
        <f>Summary!#REF!</f>
        <v>#REF!</v>
      </c>
      <c r="L30" s="13" t="e">
        <f>Summary!#REF!</f>
        <v>#REF!</v>
      </c>
      <c r="M30" s="13" t="e">
        <f>Summary!#REF!</f>
        <v>#REF!</v>
      </c>
      <c r="N30" s="13" t="e">
        <f>Summary!#REF!</f>
        <v>#REF!</v>
      </c>
    </row>
    <row r="31" spans="1:14">
      <c r="A31" s="4" t="str">
        <f>Summary!A40</f>
        <v>16.1.5.3.8</v>
      </c>
      <c r="B31" s="4" t="s">
        <v>0</v>
      </c>
      <c r="C31" s="4" t="str">
        <f>Summary!B40</f>
        <v>Epidemic Preparedness and respons Malaria</v>
      </c>
      <c r="D31" s="13">
        <f>Summary!G40</f>
        <v>70</v>
      </c>
      <c r="E31" s="13" t="e">
        <f>Summary!#REF!</f>
        <v>#REF!</v>
      </c>
      <c r="F31" s="13" t="e">
        <f>Summary!#REF!</f>
        <v>#REF!</v>
      </c>
      <c r="G31" s="13" t="e">
        <f>Summary!#REF!</f>
        <v>#REF!</v>
      </c>
      <c r="H31" s="13" t="e">
        <f>Summary!#REF!</f>
        <v>#REF!</v>
      </c>
      <c r="I31" s="13" t="e">
        <f>Summary!#REF!</f>
        <v>#REF!</v>
      </c>
      <c r="J31" s="13" t="e">
        <f>Summary!#REF!</f>
        <v>#REF!</v>
      </c>
      <c r="K31" s="13" t="e">
        <f>Summary!#REF!</f>
        <v>#REF!</v>
      </c>
      <c r="L31" s="13" t="e">
        <f>Summary!#REF!</f>
        <v>#REF!</v>
      </c>
      <c r="M31" s="13" t="e">
        <f>Summary!#REF!</f>
        <v>#REF!</v>
      </c>
      <c r="N31" s="13" t="e">
        <f>Summary!#REF!</f>
        <v>#REF!</v>
      </c>
    </row>
    <row r="32" spans="1:14">
      <c r="A32" s="4" t="str">
        <f>Summary!A41</f>
        <v>16.4.1.4.2</v>
      </c>
      <c r="B32" s="4" t="s">
        <v>76</v>
      </c>
      <c r="C32" s="4" t="str">
        <f>Summary!B41</f>
        <v>Consultant / Programme Officer</v>
      </c>
      <c r="D32" s="13">
        <f>Summary!G41</f>
        <v>0</v>
      </c>
      <c r="E32" s="13" t="e">
        <f>Summary!#REF!</f>
        <v>#REF!</v>
      </c>
      <c r="F32" s="13" t="e">
        <f>Summary!#REF!</f>
        <v>#REF!</v>
      </c>
      <c r="G32" s="13" t="e">
        <f>Summary!#REF!</f>
        <v>#REF!</v>
      </c>
      <c r="H32" s="13" t="e">
        <f>Summary!#REF!</f>
        <v>#REF!</v>
      </c>
      <c r="I32" s="13" t="e">
        <f>Summary!#REF!</f>
        <v>#REF!</v>
      </c>
      <c r="J32" s="13" t="e">
        <f>Summary!#REF!</f>
        <v>#REF!</v>
      </c>
      <c r="K32" s="13" t="e">
        <f>Summary!#REF!</f>
        <v>#REF!</v>
      </c>
      <c r="L32" s="13" t="e">
        <f>Summary!#REF!</f>
        <v>#REF!</v>
      </c>
      <c r="M32" s="13" t="e">
        <f>Summary!#REF!</f>
        <v>#REF!</v>
      </c>
      <c r="N32" s="13" t="e">
        <f>Summary!#REF!</f>
        <v>#REF!</v>
      </c>
    </row>
    <row r="33" spans="1:14">
      <c r="A33" s="4" t="str">
        <f>Summary!A42</f>
        <v>16.4.1.4.2</v>
      </c>
      <c r="B33" s="4" t="s">
        <v>76</v>
      </c>
      <c r="C33" s="4" t="str">
        <f>Summary!B42</f>
        <v>M&amp;E Consultant</v>
      </c>
      <c r="D33" s="13">
        <f>Summary!G42</f>
        <v>6.048</v>
      </c>
      <c r="E33" s="13" t="e">
        <f>Summary!#REF!</f>
        <v>#REF!</v>
      </c>
      <c r="F33" s="13" t="e">
        <f>Summary!#REF!</f>
        <v>#REF!</v>
      </c>
      <c r="G33" s="13" t="e">
        <f>Summary!#REF!</f>
        <v>#REF!</v>
      </c>
      <c r="H33" s="13" t="e">
        <f>Summary!#REF!</f>
        <v>#REF!</v>
      </c>
      <c r="I33" s="13" t="e">
        <f>Summary!#REF!</f>
        <v>#REF!</v>
      </c>
      <c r="J33" s="13" t="e">
        <f>Summary!#REF!</f>
        <v>#REF!</v>
      </c>
      <c r="K33" s="13" t="e">
        <f>Summary!#REF!</f>
        <v>#REF!</v>
      </c>
      <c r="L33" s="13" t="e">
        <f>Summary!#REF!</f>
        <v>#REF!</v>
      </c>
      <c r="M33" s="13" t="e">
        <f>Summary!#REF!</f>
        <v>#REF!</v>
      </c>
      <c r="N33" s="13" t="e">
        <f>Summary!#REF!</f>
        <v>#REF!</v>
      </c>
    </row>
    <row r="34" spans="1:14">
      <c r="A34" s="4" t="str">
        <f>Summary!A43</f>
        <v>16.4.1.4.2</v>
      </c>
      <c r="B34" s="4" t="s">
        <v>76</v>
      </c>
      <c r="C34" s="4" t="str">
        <f>Summary!B43</f>
        <v>SPH Consultant</v>
      </c>
      <c r="D34" s="13">
        <f>Summary!G43</f>
        <v>5.04</v>
      </c>
      <c r="E34" s="13" t="e">
        <f>Summary!#REF!</f>
        <v>#REF!</v>
      </c>
      <c r="F34" s="13" t="e">
        <f>Summary!#REF!</f>
        <v>#REF!</v>
      </c>
      <c r="G34" s="13" t="e">
        <f>Summary!#REF!</f>
        <v>#REF!</v>
      </c>
      <c r="H34" s="13" t="e">
        <f>Summary!#REF!</f>
        <v>#REF!</v>
      </c>
      <c r="I34" s="13" t="e">
        <f>Summary!#REF!</f>
        <v>#REF!</v>
      </c>
      <c r="J34" s="13" t="e">
        <f>Summary!#REF!</f>
        <v>#REF!</v>
      </c>
      <c r="K34" s="13" t="e">
        <f>Summary!#REF!</f>
        <v>#REF!</v>
      </c>
      <c r="L34" s="13" t="e">
        <f>Summary!#REF!</f>
        <v>#REF!</v>
      </c>
      <c r="M34" s="13" t="e">
        <f>Summary!#REF!</f>
        <v>#REF!</v>
      </c>
      <c r="N34" s="13" t="e">
        <f>Summary!#REF!</f>
        <v>#REF!</v>
      </c>
    </row>
    <row r="35" spans="1:14">
      <c r="A35" s="4" t="str">
        <f>Summary!A44</f>
        <v>16.4.1.4.2</v>
      </c>
      <c r="B35" s="4" t="s">
        <v>76</v>
      </c>
      <c r="C35" s="4" t="str">
        <f>Summary!B44</f>
        <v>PSCM Consultant</v>
      </c>
      <c r="D35" s="13">
        <f>Summary!G44</f>
        <v>5.3604</v>
      </c>
      <c r="E35" s="13" t="e">
        <f>Summary!#REF!</f>
        <v>#REF!</v>
      </c>
      <c r="F35" s="13" t="e">
        <f>Summary!#REF!</f>
        <v>#REF!</v>
      </c>
      <c r="G35" s="13" t="e">
        <f>Summary!#REF!</f>
        <v>#REF!</v>
      </c>
      <c r="H35" s="13" t="e">
        <f>Summary!#REF!</f>
        <v>#REF!</v>
      </c>
      <c r="I35" s="13" t="e">
        <f>Summary!#REF!</f>
        <v>#REF!</v>
      </c>
      <c r="J35" s="13" t="e">
        <f>Summary!#REF!</f>
        <v>#REF!</v>
      </c>
      <c r="K35" s="13" t="e">
        <f>Summary!#REF!</f>
        <v>#REF!</v>
      </c>
      <c r="L35" s="13" t="e">
        <f>Summary!#REF!</f>
        <v>#REF!</v>
      </c>
      <c r="M35" s="13" t="e">
        <f>Summary!#REF!</f>
        <v>#REF!</v>
      </c>
      <c r="N35" s="13" t="e">
        <f>Summary!#REF!</f>
        <v>#REF!</v>
      </c>
    </row>
    <row r="36" spans="1:14">
      <c r="A36" s="4" t="str">
        <f>Summary!A45</f>
        <v>16.4.1.4.2</v>
      </c>
      <c r="B36" s="4" t="s">
        <v>76</v>
      </c>
      <c r="C36" s="4" t="str">
        <f>Summary!B45</f>
        <v>IEC/BCC Consultant</v>
      </c>
      <c r="D36" s="13">
        <f>Summary!G45</f>
        <v>5.3604</v>
      </c>
      <c r="E36" s="13" t="e">
        <f>Summary!#REF!</f>
        <v>#REF!</v>
      </c>
      <c r="F36" s="13" t="e">
        <f>Summary!#REF!</f>
        <v>#REF!</v>
      </c>
      <c r="G36" s="13" t="e">
        <f>Summary!#REF!</f>
        <v>#REF!</v>
      </c>
      <c r="H36" s="13" t="e">
        <f>Summary!#REF!</f>
        <v>#REF!</v>
      </c>
      <c r="I36" s="13" t="e">
        <f>Summary!#REF!</f>
        <v>#REF!</v>
      </c>
      <c r="J36" s="13" t="e">
        <f>Summary!#REF!</f>
        <v>#REF!</v>
      </c>
      <c r="K36" s="13" t="e">
        <f>Summary!#REF!</f>
        <v>#REF!</v>
      </c>
      <c r="L36" s="13" t="e">
        <f>Summary!#REF!</f>
        <v>#REF!</v>
      </c>
      <c r="M36" s="13" t="e">
        <f>Summary!#REF!</f>
        <v>#REF!</v>
      </c>
      <c r="N36" s="13" t="e">
        <f>Summary!#REF!</f>
        <v>#REF!</v>
      </c>
    </row>
    <row r="37" spans="1:14">
      <c r="A37" s="4" t="str">
        <f>Summary!A46</f>
        <v>16.4.1.4.2</v>
      </c>
      <c r="B37" s="4" t="s">
        <v>76</v>
      </c>
      <c r="C37" s="4" t="str">
        <f>Summary!B46</f>
        <v>Finance Consultant</v>
      </c>
      <c r="D37" s="13">
        <f>Summary!G46</f>
        <v>6.73884</v>
      </c>
      <c r="E37" s="13" t="e">
        <f>Summary!#REF!</f>
        <v>#REF!</v>
      </c>
      <c r="F37" s="13" t="e">
        <f>Summary!#REF!</f>
        <v>#REF!</v>
      </c>
      <c r="G37" s="13" t="e">
        <f>Summary!#REF!</f>
        <v>#REF!</v>
      </c>
      <c r="H37" s="13" t="e">
        <f>Summary!#REF!</f>
        <v>#REF!</v>
      </c>
      <c r="I37" s="13" t="e">
        <f>Summary!#REF!</f>
        <v>#REF!</v>
      </c>
      <c r="J37" s="13" t="e">
        <f>Summary!#REF!</f>
        <v>#REF!</v>
      </c>
      <c r="K37" s="13" t="e">
        <f>Summary!#REF!</f>
        <v>#REF!</v>
      </c>
      <c r="L37" s="13" t="e">
        <f>Summary!#REF!</f>
        <v>#REF!</v>
      </c>
      <c r="M37" s="13" t="e">
        <f>Summary!#REF!</f>
        <v>#REF!</v>
      </c>
      <c r="N37" s="13" t="e">
        <f>Summary!#REF!</f>
        <v>#REF!</v>
      </c>
    </row>
    <row r="38" spans="1:14">
      <c r="A38" s="4" t="str">
        <f>Summary!A47</f>
        <v>16.4.1.4.7</v>
      </c>
      <c r="B38" s="4" t="s">
        <v>76</v>
      </c>
      <c r="C38" s="4" t="str">
        <f>Summary!B47</f>
        <v>Account Staffs</v>
      </c>
      <c r="D38" s="13">
        <f>Summary!G47</f>
        <v>0</v>
      </c>
      <c r="E38" s="13" t="e">
        <f>Summary!#REF!</f>
        <v>#REF!</v>
      </c>
      <c r="F38" s="13" t="e">
        <f>Summary!#REF!</f>
        <v>#REF!</v>
      </c>
      <c r="G38" s="13" t="e">
        <f>Summary!#REF!</f>
        <v>#REF!</v>
      </c>
      <c r="H38" s="13" t="e">
        <f>Summary!#REF!</f>
        <v>#REF!</v>
      </c>
      <c r="I38" s="13" t="e">
        <f>Summary!#REF!</f>
        <v>#REF!</v>
      </c>
      <c r="J38" s="13" t="e">
        <f>Summary!#REF!</f>
        <v>#REF!</v>
      </c>
      <c r="K38" s="13" t="e">
        <f>Summary!#REF!</f>
        <v>#REF!</v>
      </c>
      <c r="L38" s="13" t="e">
        <f>Summary!#REF!</f>
        <v>#REF!</v>
      </c>
      <c r="M38" s="13" t="e">
        <f>Summary!#REF!</f>
        <v>#REF!</v>
      </c>
      <c r="N38" s="13" t="e">
        <f>Summary!#REF!</f>
        <v>#REF!</v>
      </c>
    </row>
    <row r="39" spans="1:14">
      <c r="A39" s="4" t="str">
        <f>Summary!A48</f>
        <v>16.4.1.4.7</v>
      </c>
      <c r="B39" s="4" t="s">
        <v>76</v>
      </c>
      <c r="C39" s="4" t="str">
        <f>Summary!B48</f>
        <v>Statistic xum Account Asst.</v>
      </c>
      <c r="D39" s="13">
        <f>Summary!G48</f>
        <v>3.063</v>
      </c>
      <c r="E39" s="13" t="e">
        <f>Summary!#REF!</f>
        <v>#REF!</v>
      </c>
      <c r="F39" s="13" t="e">
        <f>Summary!#REF!</f>
        <v>#REF!</v>
      </c>
      <c r="G39" s="13" t="e">
        <f>Summary!#REF!</f>
        <v>#REF!</v>
      </c>
      <c r="H39" s="13" t="e">
        <f>Summary!#REF!</f>
        <v>#REF!</v>
      </c>
      <c r="I39" s="13" t="e">
        <f>Summary!#REF!</f>
        <v>#REF!</v>
      </c>
      <c r="J39" s="13" t="e">
        <f>Summary!#REF!</f>
        <v>#REF!</v>
      </c>
      <c r="K39" s="13" t="e">
        <f>Summary!#REF!</f>
        <v>#REF!</v>
      </c>
      <c r="L39" s="13" t="e">
        <f>Summary!#REF!</f>
        <v>#REF!</v>
      </c>
      <c r="M39" s="13" t="e">
        <f>Summary!#REF!</f>
        <v>#REF!</v>
      </c>
      <c r="N39" s="13" t="e">
        <f>Summary!#REF!</f>
        <v>#REF!</v>
      </c>
    </row>
    <row r="40" spans="1:14">
      <c r="A40" s="4" t="str">
        <f>Summary!A49</f>
        <v>16.4.1.4.8</v>
      </c>
      <c r="B40" s="4" t="s">
        <v>76</v>
      </c>
      <c r="C40" s="4" t="str">
        <f>Summary!B49</f>
        <v>Admisnistratice Staffs</v>
      </c>
      <c r="D40" s="13">
        <f>Summary!G49</f>
        <v>0</v>
      </c>
      <c r="E40" s="13" t="e">
        <f>Summary!#REF!</f>
        <v>#REF!</v>
      </c>
      <c r="F40" s="13" t="e">
        <f>Summary!#REF!</f>
        <v>#REF!</v>
      </c>
      <c r="G40" s="13" t="e">
        <f>Summary!#REF!</f>
        <v>#REF!</v>
      </c>
      <c r="H40" s="13" t="e">
        <f>Summary!#REF!</f>
        <v>#REF!</v>
      </c>
      <c r="I40" s="13" t="e">
        <f>Summary!#REF!</f>
        <v>#REF!</v>
      </c>
      <c r="J40" s="13" t="e">
        <f>Summary!#REF!</f>
        <v>#REF!</v>
      </c>
      <c r="K40" s="13" t="e">
        <f>Summary!#REF!</f>
        <v>#REF!</v>
      </c>
      <c r="L40" s="13" t="e">
        <f>Summary!#REF!</f>
        <v>#REF!</v>
      </c>
      <c r="M40" s="13" t="e">
        <f>Summary!#REF!</f>
        <v>#REF!</v>
      </c>
      <c r="N40" s="13" t="e">
        <f>Summary!#REF!</f>
        <v>#REF!</v>
      </c>
    </row>
    <row r="41" spans="1:14">
      <c r="A41" s="4" t="str">
        <f>Summary!A50</f>
        <v>16.4.1.4.8</v>
      </c>
      <c r="B41" s="4" t="s">
        <v>76</v>
      </c>
      <c r="C41" s="4" t="str">
        <f>Summary!B50</f>
        <v>Secretarial Asst cum DEO</v>
      </c>
      <c r="D41" s="13">
        <f>Summary!G50</f>
        <v>5.51352</v>
      </c>
      <c r="E41" s="13" t="e">
        <f>Summary!#REF!</f>
        <v>#REF!</v>
      </c>
      <c r="F41" s="13" t="e">
        <f>Summary!#REF!</f>
        <v>#REF!</v>
      </c>
      <c r="G41" s="13" t="e">
        <f>Summary!#REF!</f>
        <v>#REF!</v>
      </c>
      <c r="H41" s="13" t="e">
        <f>Summary!#REF!</f>
        <v>#REF!</v>
      </c>
      <c r="I41" s="13" t="e">
        <f>Summary!#REF!</f>
        <v>#REF!</v>
      </c>
      <c r="J41" s="13" t="e">
        <f>Summary!#REF!</f>
        <v>#REF!</v>
      </c>
      <c r="K41" s="13" t="e">
        <f>Summary!#REF!</f>
        <v>#REF!</v>
      </c>
      <c r="L41" s="13" t="e">
        <f>Summary!#REF!</f>
        <v>#REF!</v>
      </c>
      <c r="M41" s="13" t="e">
        <f>Summary!#REF!</f>
        <v>#REF!</v>
      </c>
      <c r="N41" s="13" t="e">
        <f>Summary!#REF!</f>
        <v>#REF!</v>
      </c>
    </row>
    <row r="42" spans="1:14">
      <c r="A42" s="4" t="str">
        <f>Summary!A51</f>
        <v>16.4.2.2.2</v>
      </c>
      <c r="B42" s="4" t="s">
        <v>76</v>
      </c>
      <c r="C42" s="4" t="str">
        <f>Summary!B51</f>
        <v>Consultants/ Programme Officers</v>
      </c>
      <c r="D42" s="13">
        <f>Summary!G51</f>
        <v>0</v>
      </c>
      <c r="E42" s="13" t="e">
        <f>Summary!#REF!</f>
        <v>#REF!</v>
      </c>
      <c r="F42" s="13" t="e">
        <f>Summary!#REF!</f>
        <v>#REF!</v>
      </c>
      <c r="G42" s="13" t="e">
        <f>Summary!#REF!</f>
        <v>#REF!</v>
      </c>
      <c r="H42" s="13" t="e">
        <f>Summary!#REF!</f>
        <v>#REF!</v>
      </c>
      <c r="I42" s="13" t="e">
        <f>Summary!#REF!</f>
        <v>#REF!</v>
      </c>
      <c r="J42" s="13" t="e">
        <f>Summary!#REF!</f>
        <v>#REF!</v>
      </c>
      <c r="K42" s="13" t="e">
        <f>Summary!#REF!</f>
        <v>#REF!</v>
      </c>
      <c r="L42" s="13" t="e">
        <f>Summary!#REF!</f>
        <v>#REF!</v>
      </c>
      <c r="M42" s="13" t="e">
        <f>Summary!#REF!</f>
        <v>#REF!</v>
      </c>
      <c r="N42" s="13" t="e">
        <f>Summary!#REF!</f>
        <v>#REF!</v>
      </c>
    </row>
    <row r="43" spans="1:14">
      <c r="A43" s="4" t="str">
        <f>Summary!A52</f>
        <v>16.4.2.2.2</v>
      </c>
      <c r="B43" s="4" t="s">
        <v>76</v>
      </c>
      <c r="C43" s="4" t="str">
        <f>Summary!B52</f>
        <v>DVBD Consultant</v>
      </c>
      <c r="D43" s="13">
        <f>Summary!G52</f>
        <v>42.8832</v>
      </c>
      <c r="E43" s="13" t="e">
        <f>Summary!#REF!</f>
        <v>#REF!</v>
      </c>
      <c r="F43" s="13" t="e">
        <f>Summary!#REF!</f>
        <v>#REF!</v>
      </c>
      <c r="G43" s="13" t="e">
        <f>Summary!#REF!</f>
        <v>#REF!</v>
      </c>
      <c r="H43" s="13" t="e">
        <f>Summary!#REF!</f>
        <v>#REF!</v>
      </c>
      <c r="I43" s="13" t="e">
        <f>Summary!#REF!</f>
        <v>#REF!</v>
      </c>
      <c r="J43" s="13" t="e">
        <f>Summary!#REF!</f>
        <v>#REF!</v>
      </c>
      <c r="K43" s="13" t="e">
        <f>Summary!#REF!</f>
        <v>#REF!</v>
      </c>
      <c r="L43" s="13" t="e">
        <f>Summary!#REF!</f>
        <v>#REF!</v>
      </c>
      <c r="M43" s="13" t="e">
        <f>Summary!#REF!</f>
        <v>#REF!</v>
      </c>
      <c r="N43" s="13" t="e">
        <f>Summary!#REF!</f>
        <v>#REF!</v>
      </c>
    </row>
    <row r="44" spans="1:14">
      <c r="A44" s="4" t="str">
        <f>Summary!A53</f>
        <v>16.4.2.2.2</v>
      </c>
      <c r="B44" s="4" t="s">
        <v>76</v>
      </c>
      <c r="C44" s="4" t="str">
        <f>Summary!B53</f>
        <v>DVBD Consultant</v>
      </c>
      <c r="D44" s="13">
        <f>Summary!G53</f>
        <v>5.10516</v>
      </c>
      <c r="E44" s="13" t="e">
        <f>Summary!#REF!</f>
        <v>#REF!</v>
      </c>
      <c r="F44" s="13" t="e">
        <f>Summary!#REF!</f>
        <v>#REF!</v>
      </c>
      <c r="G44" s="13" t="e">
        <f>Summary!#REF!</f>
        <v>#REF!</v>
      </c>
      <c r="H44" s="13" t="e">
        <f>Summary!#REF!</f>
        <v>#REF!</v>
      </c>
      <c r="I44" s="13" t="e">
        <f>Summary!#REF!</f>
        <v>#REF!</v>
      </c>
      <c r="J44" s="13" t="e">
        <f>Summary!#REF!</f>
        <v>#REF!</v>
      </c>
      <c r="K44" s="13" t="e">
        <f>Summary!#REF!</f>
        <v>#REF!</v>
      </c>
      <c r="L44" s="13" t="e">
        <f>Summary!#REF!</f>
        <v>#REF!</v>
      </c>
      <c r="M44" s="13" t="e">
        <f>Summary!#REF!</f>
        <v>#REF!</v>
      </c>
      <c r="N44" s="13" t="e">
        <f>Summary!#REF!</f>
        <v>#REF!</v>
      </c>
    </row>
    <row r="45" spans="1:14">
      <c r="A45" s="4" t="str">
        <f>Summary!A54</f>
        <v>16.4.3.2.6</v>
      </c>
      <c r="B45" s="4" t="s">
        <v>76</v>
      </c>
      <c r="C45" s="4" t="str">
        <f>Summary!B54</f>
        <v>Account Staffs</v>
      </c>
      <c r="D45" s="13">
        <f>Summary!G54</f>
        <v>0</v>
      </c>
      <c r="E45" s="13" t="e">
        <f>Summary!#REF!</f>
        <v>#REF!</v>
      </c>
      <c r="F45" s="13" t="e">
        <f>Summary!#REF!</f>
        <v>#REF!</v>
      </c>
      <c r="G45" s="13" t="e">
        <f>Summary!#REF!</f>
        <v>#REF!</v>
      </c>
      <c r="H45" s="13" t="e">
        <f>Summary!#REF!</f>
        <v>#REF!</v>
      </c>
      <c r="I45" s="13" t="e">
        <f>Summary!#REF!</f>
        <v>#REF!</v>
      </c>
      <c r="J45" s="13" t="e">
        <f>Summary!#REF!</f>
        <v>#REF!</v>
      </c>
      <c r="K45" s="13" t="e">
        <f>Summary!#REF!</f>
        <v>#REF!</v>
      </c>
      <c r="L45" s="13" t="e">
        <f>Summary!#REF!</f>
        <v>#REF!</v>
      </c>
      <c r="M45" s="13" t="e">
        <f>Summary!#REF!</f>
        <v>#REF!</v>
      </c>
      <c r="N45" s="13" t="e">
        <f>Summary!#REF!</f>
        <v>#REF!</v>
      </c>
    </row>
    <row r="46" spans="1:14">
      <c r="A46" s="4" t="str">
        <f>Summary!A55</f>
        <v>16.4.3.2.6</v>
      </c>
      <c r="B46" s="4" t="s">
        <v>76</v>
      </c>
      <c r="C46" s="4" t="str">
        <f>Summary!B55</f>
        <v>Secrearial Asst. cum DEO cum Accountant</v>
      </c>
      <c r="D46" s="13">
        <f>Summary!G55</f>
        <v>19.29744</v>
      </c>
      <c r="E46" s="13" t="e">
        <f>Summary!#REF!</f>
        <v>#REF!</v>
      </c>
      <c r="F46" s="13" t="e">
        <f>Summary!#REF!</f>
        <v>#REF!</v>
      </c>
      <c r="G46" s="13" t="e">
        <f>Summary!#REF!</f>
        <v>#REF!</v>
      </c>
      <c r="H46" s="13" t="e">
        <f>Summary!#REF!</f>
        <v>#REF!</v>
      </c>
      <c r="I46" s="13" t="e">
        <f>Summary!#REF!</f>
        <v>#REF!</v>
      </c>
      <c r="J46" s="13" t="e">
        <f>Summary!#REF!</f>
        <v>#REF!</v>
      </c>
      <c r="K46" s="13" t="e">
        <f>Summary!#REF!</f>
        <v>#REF!</v>
      </c>
      <c r="L46" s="13" t="e">
        <f>Summary!#REF!</f>
        <v>#REF!</v>
      </c>
      <c r="M46" s="13" t="e">
        <f>Summary!#REF!</f>
        <v>#REF!</v>
      </c>
      <c r="N46" s="13" t="e">
        <f>Summary!#REF!</f>
        <v>#REF!</v>
      </c>
    </row>
    <row r="47" spans="1:14">
      <c r="A47" s="4" t="str">
        <f>Summary!A56</f>
        <v>16.4.2.2.7</v>
      </c>
      <c r="B47" s="4" t="s">
        <v>76</v>
      </c>
      <c r="C47" s="4" t="str">
        <f>Summary!B56</f>
        <v>Supervisors</v>
      </c>
      <c r="D47" s="13">
        <f>Summary!G56</f>
        <v>0</v>
      </c>
      <c r="E47" s="13" t="e">
        <f>Summary!#REF!</f>
        <v>#REF!</v>
      </c>
      <c r="F47" s="13" t="e">
        <f>Summary!#REF!</f>
        <v>#REF!</v>
      </c>
      <c r="G47" s="13" t="e">
        <f>Summary!#REF!</f>
        <v>#REF!</v>
      </c>
      <c r="H47" s="13" t="e">
        <f>Summary!#REF!</f>
        <v>#REF!</v>
      </c>
      <c r="I47" s="13" t="e">
        <f>Summary!#REF!</f>
        <v>#REF!</v>
      </c>
      <c r="J47" s="13" t="e">
        <f>Summary!#REF!</f>
        <v>#REF!</v>
      </c>
      <c r="K47" s="13" t="e">
        <f>Summary!#REF!</f>
        <v>#REF!</v>
      </c>
      <c r="L47" s="13" t="e">
        <f>Summary!#REF!</f>
        <v>#REF!</v>
      </c>
      <c r="M47" s="13" t="e">
        <f>Summary!#REF!</f>
        <v>#REF!</v>
      </c>
      <c r="N47" s="13" t="e">
        <f>Summary!#REF!</f>
        <v>#REF!</v>
      </c>
    </row>
    <row r="48" spans="1:14">
      <c r="A48" s="4" t="str">
        <f>Summary!A57</f>
        <v>16.4.2.2.7</v>
      </c>
      <c r="B48" s="4" t="s">
        <v>76</v>
      </c>
      <c r="C48" s="4" t="str">
        <f>Summary!B57</f>
        <v>Malaria Technical Supervisors</v>
      </c>
      <c r="D48" s="13">
        <f>Summary!G57</f>
        <v>3.7044</v>
      </c>
      <c r="E48" s="13" t="e">
        <f>Summary!#REF!</f>
        <v>#REF!</v>
      </c>
      <c r="F48" s="13" t="e">
        <f>Summary!#REF!</f>
        <v>#REF!</v>
      </c>
      <c r="G48" s="13" t="e">
        <f>Summary!#REF!</f>
        <v>#REF!</v>
      </c>
      <c r="H48" s="13" t="e">
        <f>Summary!#REF!</f>
        <v>#REF!</v>
      </c>
      <c r="I48" s="13" t="e">
        <f>Summary!#REF!</f>
        <v>#REF!</v>
      </c>
      <c r="J48" s="13" t="e">
        <f>Summary!#REF!</f>
        <v>#REF!</v>
      </c>
      <c r="K48" s="13" t="e">
        <f>Summary!#REF!</f>
        <v>#REF!</v>
      </c>
      <c r="L48" s="13" t="e">
        <f>Summary!#REF!</f>
        <v>#REF!</v>
      </c>
      <c r="M48" s="13" t="e">
        <f>Summary!#REF!</f>
        <v>#REF!</v>
      </c>
      <c r="N48" s="13" t="e">
        <f>Summary!#REF!</f>
        <v>#REF!</v>
      </c>
    </row>
    <row r="49" spans="1:14">
      <c r="A49" s="4" t="str">
        <f>Summary!A58</f>
        <v>16.4.2.2.7</v>
      </c>
      <c r="B49" s="4" t="s">
        <v>76</v>
      </c>
      <c r="C49" s="4" t="str">
        <f>Summary!B58</f>
        <v>Malaria Technical Supervisors</v>
      </c>
      <c r="D49" s="13">
        <f>Summary!G58</f>
        <v>18.37836</v>
      </c>
      <c r="E49" s="13" t="e">
        <f>Summary!#REF!</f>
        <v>#REF!</v>
      </c>
      <c r="F49" s="13" t="e">
        <f>Summary!#REF!</f>
        <v>#REF!</v>
      </c>
      <c r="G49" s="13" t="e">
        <f>Summary!#REF!</f>
        <v>#REF!</v>
      </c>
      <c r="H49" s="13" t="e">
        <f>Summary!#REF!</f>
        <v>#REF!</v>
      </c>
      <c r="I49" s="13" t="e">
        <f>Summary!#REF!</f>
        <v>#REF!</v>
      </c>
      <c r="J49" s="13" t="e">
        <f>Summary!#REF!</f>
        <v>#REF!</v>
      </c>
      <c r="K49" s="13" t="e">
        <f>Summary!#REF!</f>
        <v>#REF!</v>
      </c>
      <c r="L49" s="13" t="e">
        <f>Summary!#REF!</f>
        <v>#REF!</v>
      </c>
      <c r="M49" s="13" t="e">
        <f>Summary!#REF!</f>
        <v>#REF!</v>
      </c>
      <c r="N49" s="13" t="e">
        <f>Summary!#REF!</f>
        <v>#REF!</v>
      </c>
    </row>
    <row r="50" spans="1:14">
      <c r="A50" s="4" t="str">
        <f>Summary!A59</f>
        <v>16.4.2.2.7</v>
      </c>
      <c r="B50" s="4" t="s">
        <v>76</v>
      </c>
      <c r="C50" s="4" t="str">
        <f>Summary!B59</f>
        <v>Malaria Technical Supervisors</v>
      </c>
      <c r="D50" s="13">
        <f>Summary!G59</f>
        <v>2.18868</v>
      </c>
      <c r="E50" s="13" t="e">
        <f>Summary!#REF!</f>
        <v>#REF!</v>
      </c>
      <c r="F50" s="13" t="e">
        <f>Summary!#REF!</f>
        <v>#REF!</v>
      </c>
      <c r="G50" s="13" t="e">
        <f>Summary!#REF!</f>
        <v>#REF!</v>
      </c>
      <c r="H50" s="13" t="e">
        <f>Summary!#REF!</f>
        <v>#REF!</v>
      </c>
      <c r="I50" s="13" t="e">
        <f>Summary!#REF!</f>
        <v>#REF!</v>
      </c>
      <c r="J50" s="13" t="e">
        <f>Summary!#REF!</f>
        <v>#REF!</v>
      </c>
      <c r="K50" s="13" t="e">
        <f>Summary!#REF!</f>
        <v>#REF!</v>
      </c>
      <c r="L50" s="13" t="e">
        <f>Summary!#REF!</f>
        <v>#REF!</v>
      </c>
      <c r="M50" s="13" t="e">
        <f>Summary!#REF!</f>
        <v>#REF!</v>
      </c>
      <c r="N50" s="13" t="e">
        <f>Summary!#REF!</f>
        <v>#REF!</v>
      </c>
    </row>
    <row r="51" spans="1:14">
      <c r="A51" s="4" t="str">
        <f>Summary!A60</f>
        <v>16.4.2.2.7</v>
      </c>
      <c r="B51" s="4" t="s">
        <v>76</v>
      </c>
      <c r="C51" s="4" t="str">
        <f>Summary!B60</f>
        <v>Malaria Technical Supervisors</v>
      </c>
      <c r="D51" s="13">
        <f>Summary!G60</f>
        <v>8.07696</v>
      </c>
      <c r="E51" s="13" t="e">
        <f>Summary!#REF!</f>
        <v>#REF!</v>
      </c>
      <c r="F51" s="13" t="e">
        <f>Summary!#REF!</f>
        <v>#REF!</v>
      </c>
      <c r="G51" s="13" t="e">
        <f>Summary!#REF!</f>
        <v>#REF!</v>
      </c>
      <c r="H51" s="13" t="e">
        <f>Summary!#REF!</f>
        <v>#REF!</v>
      </c>
      <c r="I51" s="13" t="e">
        <f>Summary!#REF!</f>
        <v>#REF!</v>
      </c>
      <c r="J51" s="13" t="e">
        <f>Summary!#REF!</f>
        <v>#REF!</v>
      </c>
      <c r="K51" s="13" t="e">
        <f>Summary!#REF!</f>
        <v>#REF!</v>
      </c>
      <c r="L51" s="13" t="e">
        <f>Summary!#REF!</f>
        <v>#REF!</v>
      </c>
      <c r="M51" s="13" t="e">
        <f>Summary!#REF!</f>
        <v>#REF!</v>
      </c>
      <c r="N51" s="13" t="e">
        <f>Summary!#REF!</f>
        <v>#REF!</v>
      </c>
    </row>
    <row r="52" spans="1:14">
      <c r="A52" s="4" t="str">
        <f>Summary!A61</f>
        <v>16.4.2.2.7</v>
      </c>
      <c r="B52" s="4" t="s">
        <v>76</v>
      </c>
      <c r="C52" s="4" t="str">
        <f>Summary!B61</f>
        <v>Malaria Technical Supervisors</v>
      </c>
      <c r="D52" s="13">
        <f>Summary!G61</f>
        <v>3.88944</v>
      </c>
      <c r="E52" s="13" t="e">
        <f>Summary!#REF!</f>
        <v>#REF!</v>
      </c>
      <c r="F52" s="13" t="e">
        <f>Summary!#REF!</f>
        <v>#REF!</v>
      </c>
      <c r="G52" s="13" t="e">
        <f>Summary!#REF!</f>
        <v>#REF!</v>
      </c>
      <c r="H52" s="13" t="e">
        <f>Summary!#REF!</f>
        <v>#REF!</v>
      </c>
      <c r="I52" s="13" t="e">
        <f>Summary!#REF!</f>
        <v>#REF!</v>
      </c>
      <c r="J52" s="13" t="e">
        <f>Summary!#REF!</f>
        <v>#REF!</v>
      </c>
      <c r="K52" s="13" t="e">
        <f>Summary!#REF!</f>
        <v>#REF!</v>
      </c>
      <c r="L52" s="13" t="e">
        <f>Summary!#REF!</f>
        <v>#REF!</v>
      </c>
      <c r="M52" s="13" t="e">
        <f>Summary!#REF!</f>
        <v>#REF!</v>
      </c>
      <c r="N52" s="13" t="e">
        <f>Summary!#REF!</f>
        <v>#REF!</v>
      </c>
    </row>
    <row r="53" spans="1:14">
      <c r="A53" s="4" t="str">
        <f>Summary!A62</f>
        <v>16.4.2.2.7</v>
      </c>
      <c r="B53" s="4" t="s">
        <v>76</v>
      </c>
      <c r="C53" s="4" t="str">
        <f>Summary!B62</f>
        <v>Malaria Technical Supervisors</v>
      </c>
      <c r="D53" s="13">
        <f>Summary!G62</f>
        <v>2.2998</v>
      </c>
      <c r="E53" s="13" t="e">
        <f>Summary!#REF!</f>
        <v>#REF!</v>
      </c>
      <c r="F53" s="13" t="e">
        <f>Summary!#REF!</f>
        <v>#REF!</v>
      </c>
      <c r="G53" s="13" t="e">
        <f>Summary!#REF!</f>
        <v>#REF!</v>
      </c>
      <c r="H53" s="13" t="e">
        <f>Summary!#REF!</f>
        <v>#REF!</v>
      </c>
      <c r="I53" s="13" t="e">
        <f>Summary!#REF!</f>
        <v>#REF!</v>
      </c>
      <c r="J53" s="13" t="e">
        <f>Summary!#REF!</f>
        <v>#REF!</v>
      </c>
      <c r="K53" s="13" t="e">
        <f>Summary!#REF!</f>
        <v>#REF!</v>
      </c>
      <c r="L53" s="13" t="e">
        <f>Summary!#REF!</f>
        <v>#REF!</v>
      </c>
      <c r="M53" s="13" t="e">
        <f>Summary!#REF!</f>
        <v>#REF!</v>
      </c>
      <c r="N53" s="13" t="e">
        <f>Summary!#REF!</f>
        <v>#REF!</v>
      </c>
    </row>
    <row r="54" spans="1:14">
      <c r="A54" s="4" t="str">
        <f>Summary!A63</f>
        <v>16.4.2.2.7</v>
      </c>
      <c r="B54" s="4" t="s">
        <v>76</v>
      </c>
      <c r="C54" s="4" t="str">
        <f>Summary!B63</f>
        <v>Malaria Technical Supervisors</v>
      </c>
      <c r="D54" s="13">
        <f>Summary!G63</f>
        <v>4.42176</v>
      </c>
      <c r="E54" s="13" t="e">
        <f>Summary!#REF!</f>
        <v>#REF!</v>
      </c>
      <c r="F54" s="13" t="e">
        <f>Summary!#REF!</f>
        <v>#REF!</v>
      </c>
      <c r="G54" s="13" t="e">
        <f>Summary!#REF!</f>
        <v>#REF!</v>
      </c>
      <c r="H54" s="13" t="e">
        <f>Summary!#REF!</f>
        <v>#REF!</v>
      </c>
      <c r="I54" s="13" t="e">
        <f>Summary!#REF!</f>
        <v>#REF!</v>
      </c>
      <c r="J54" s="13" t="e">
        <f>Summary!#REF!</f>
        <v>#REF!</v>
      </c>
      <c r="K54" s="13" t="e">
        <f>Summary!#REF!</f>
        <v>#REF!</v>
      </c>
      <c r="L54" s="13" t="e">
        <f>Summary!#REF!</f>
        <v>#REF!</v>
      </c>
      <c r="M54" s="13" t="e">
        <f>Summary!#REF!</f>
        <v>#REF!</v>
      </c>
      <c r="N54" s="13" t="e">
        <f>Summary!#REF!</f>
        <v>#REF!</v>
      </c>
    </row>
    <row r="55" spans="1:14">
      <c r="A55" s="4" t="str">
        <f>Summary!A64</f>
        <v>16.4.2.2.7</v>
      </c>
      <c r="B55" s="4" t="s">
        <v>76</v>
      </c>
      <c r="C55" s="4" t="str">
        <f>Summary!B64</f>
        <v>Malaria Technical Supervisors</v>
      </c>
      <c r="D55" s="13">
        <f>Summary!G64</f>
        <v>4.46616</v>
      </c>
      <c r="E55" s="13" t="e">
        <f>Summary!#REF!</f>
        <v>#REF!</v>
      </c>
      <c r="F55" s="13" t="e">
        <f>Summary!#REF!</f>
        <v>#REF!</v>
      </c>
      <c r="G55" s="13" t="e">
        <f>Summary!#REF!</f>
        <v>#REF!</v>
      </c>
      <c r="H55" s="13" t="e">
        <f>Summary!#REF!</f>
        <v>#REF!</v>
      </c>
      <c r="I55" s="13" t="e">
        <f>Summary!#REF!</f>
        <v>#REF!</v>
      </c>
      <c r="J55" s="13" t="e">
        <f>Summary!#REF!</f>
        <v>#REF!</v>
      </c>
      <c r="K55" s="13" t="e">
        <f>Summary!#REF!</f>
        <v>#REF!</v>
      </c>
      <c r="L55" s="13" t="e">
        <f>Summary!#REF!</f>
        <v>#REF!</v>
      </c>
      <c r="M55" s="13" t="e">
        <f>Summary!#REF!</f>
        <v>#REF!</v>
      </c>
      <c r="N55" s="13" t="e">
        <f>Summary!#REF!</f>
        <v>#REF!</v>
      </c>
    </row>
    <row r="56" s="91" customFormat="1" spans="1:14">
      <c r="A56" s="86" t="str">
        <f>Summary!A65</f>
        <v>G. TOTAL</v>
      </c>
      <c r="B56" s="86"/>
      <c r="C56" s="86" t="s">
        <v>97</v>
      </c>
      <c r="D56" s="87">
        <f>SUM(D3:D55)</f>
        <v>606.68552</v>
      </c>
      <c r="E56" s="87" t="e">
        <f t="shared" ref="E56:N56" si="1">SUM(E3:E55)</f>
        <v>#REF!</v>
      </c>
      <c r="F56" s="87" t="e">
        <f t="shared" si="1"/>
        <v>#REF!</v>
      </c>
      <c r="G56" s="87" t="e">
        <f t="shared" si="1"/>
        <v>#REF!</v>
      </c>
      <c r="H56" s="87" t="e">
        <f t="shared" si="1"/>
        <v>#REF!</v>
      </c>
      <c r="I56" s="87" t="e">
        <f t="shared" si="1"/>
        <v>#REF!</v>
      </c>
      <c r="J56" s="87" t="e">
        <f t="shared" si="1"/>
        <v>#REF!</v>
      </c>
      <c r="K56" s="87" t="e">
        <f t="shared" si="1"/>
        <v>#REF!</v>
      </c>
      <c r="L56" s="87" t="e">
        <f t="shared" si="1"/>
        <v>#REF!</v>
      </c>
      <c r="M56" s="87" t="e">
        <f t="shared" si="1"/>
        <v>#REF!</v>
      </c>
      <c r="N56" s="87" t="e">
        <f t="shared" si="1"/>
        <v>#REF!</v>
      </c>
    </row>
  </sheetData>
  <mergeCells count="1">
    <mergeCell ref="A1:N1"/>
  </mergeCells>
  <pageMargins left="0.7" right="0.7" top="0.75" bottom="0.75" header="0.3" footer="0.3"/>
  <pageSetup paperSize="1"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70"/>
  <sheetViews>
    <sheetView tabSelected="1" zoomScale="70" zoomScaleNormal="70" workbookViewId="0">
      <pane ySplit="2" topLeftCell="A3" activePane="bottomLeft" state="frozen"/>
      <selection/>
      <selection pane="bottomLeft" activeCell="J37" sqref="J37"/>
    </sheetView>
  </sheetViews>
  <sheetFormatPr defaultColWidth="9" defaultRowHeight="15"/>
  <cols>
    <col min="1" max="1" width="12.2857142857143" customWidth="1"/>
    <col min="2" max="2" width="23" customWidth="1"/>
    <col min="3" max="4" width="11" customWidth="1"/>
    <col min="5" max="5" width="12" customWidth="1"/>
    <col min="6" max="6" width="10.8571428571429" customWidth="1"/>
    <col min="7" max="7" width="11.5714285714286" customWidth="1"/>
    <col min="8" max="8" width="55.1428571428571" style="36" customWidth="1"/>
  </cols>
  <sheetData>
    <row r="1" spans="1:8">
      <c r="A1" s="37"/>
      <c r="B1" t="s">
        <v>28</v>
      </c>
      <c r="E1" s="38"/>
      <c r="F1" t="s">
        <v>98</v>
      </c>
      <c r="H1" s="36" t="s">
        <v>99</v>
      </c>
    </row>
    <row r="2" ht="30" spans="1:8">
      <c r="A2" s="39" t="s">
        <v>100</v>
      </c>
      <c r="B2" s="39" t="s">
        <v>2</v>
      </c>
      <c r="C2" s="39" t="s">
        <v>101</v>
      </c>
      <c r="D2" s="40" t="s">
        <v>102</v>
      </c>
      <c r="E2" s="39" t="s">
        <v>103</v>
      </c>
      <c r="F2" s="39" t="s">
        <v>104</v>
      </c>
      <c r="G2" s="39" t="s">
        <v>105</v>
      </c>
      <c r="H2" s="39" t="s">
        <v>106</v>
      </c>
    </row>
    <row r="3" ht="60" spans="1:8">
      <c r="A3" s="41" t="s">
        <v>15</v>
      </c>
      <c r="B3" s="42" t="s">
        <v>16</v>
      </c>
      <c r="C3" s="43">
        <v>2</v>
      </c>
      <c r="D3" s="43">
        <f>G3-C3</f>
        <v>0</v>
      </c>
      <c r="E3" s="44">
        <v>1</v>
      </c>
      <c r="F3" s="45">
        <v>2</v>
      </c>
      <c r="G3" s="44">
        <v>2</v>
      </c>
      <c r="H3" s="43" t="s">
        <v>108</v>
      </c>
    </row>
    <row r="4" ht="135" spans="1:9">
      <c r="A4" s="41" t="s">
        <v>162</v>
      </c>
      <c r="B4" s="42" t="s">
        <v>163</v>
      </c>
      <c r="C4" s="43">
        <v>0</v>
      </c>
      <c r="D4" s="43">
        <v>0</v>
      </c>
      <c r="E4" s="44">
        <v>24.57</v>
      </c>
      <c r="F4" s="45">
        <v>1</v>
      </c>
      <c r="G4" s="44">
        <v>24.57</v>
      </c>
      <c r="H4" s="46" t="s">
        <v>164</v>
      </c>
      <c r="I4" s="84"/>
    </row>
    <row r="5" ht="75" spans="1:9">
      <c r="A5" s="41" t="s">
        <v>17</v>
      </c>
      <c r="B5" s="42" t="s">
        <v>18</v>
      </c>
      <c r="C5" s="43">
        <v>56</v>
      </c>
      <c r="D5" s="43">
        <f t="shared" ref="D5:D39" si="0">G5-C5</f>
        <v>-0.789999999999999</v>
      </c>
      <c r="E5" s="44">
        <f>G5/F5</f>
        <v>18.4033333333333</v>
      </c>
      <c r="F5" s="45">
        <v>3</v>
      </c>
      <c r="G5" s="44">
        <v>55.21</v>
      </c>
      <c r="H5" s="43" t="s">
        <v>165</v>
      </c>
      <c r="I5" s="84"/>
    </row>
    <row r="6" ht="75" spans="1:9">
      <c r="A6" s="41" t="s">
        <v>19</v>
      </c>
      <c r="B6" s="42" t="s">
        <v>20</v>
      </c>
      <c r="C6" s="43">
        <v>30</v>
      </c>
      <c r="D6" s="43">
        <f t="shared" si="0"/>
        <v>6.26</v>
      </c>
      <c r="E6" s="44">
        <f>G6/F6</f>
        <v>18.13</v>
      </c>
      <c r="F6" s="45">
        <v>2</v>
      </c>
      <c r="G6" s="44">
        <v>36.26</v>
      </c>
      <c r="H6" s="46" t="s">
        <v>166</v>
      </c>
      <c r="I6" s="84"/>
    </row>
    <row r="7" ht="109.5" customHeight="1" spans="1:9">
      <c r="A7" s="41" t="s">
        <v>21</v>
      </c>
      <c r="B7" s="42" t="s">
        <v>22</v>
      </c>
      <c r="C7" s="43">
        <v>25</v>
      </c>
      <c r="D7" s="43">
        <f t="shared" si="0"/>
        <v>-4.99</v>
      </c>
      <c r="E7" s="44">
        <f>G7/F7</f>
        <v>5.0025</v>
      </c>
      <c r="F7" s="45">
        <v>4</v>
      </c>
      <c r="G7" s="44">
        <v>20.01</v>
      </c>
      <c r="H7" s="46" t="s">
        <v>167</v>
      </c>
      <c r="I7" s="84"/>
    </row>
    <row r="8" ht="64.5" customHeight="1" spans="1:9">
      <c r="A8" s="41" t="s">
        <v>168</v>
      </c>
      <c r="B8" s="42" t="s">
        <v>169</v>
      </c>
      <c r="C8" s="43">
        <v>0</v>
      </c>
      <c r="D8" s="43">
        <v>0</v>
      </c>
      <c r="E8" s="44">
        <v>19.19</v>
      </c>
      <c r="F8" s="45">
        <v>1</v>
      </c>
      <c r="G8" s="44">
        <v>19.19</v>
      </c>
      <c r="H8" s="43" t="s">
        <v>170</v>
      </c>
      <c r="I8" s="84"/>
    </row>
    <row r="9" ht="55.5" customHeight="1" spans="1:9">
      <c r="A9" s="47" t="s">
        <v>171</v>
      </c>
      <c r="B9" s="48" t="s">
        <v>172</v>
      </c>
      <c r="C9" s="49"/>
      <c r="D9" s="49"/>
      <c r="E9" s="50">
        <v>0</v>
      </c>
      <c r="F9" s="51">
        <v>0</v>
      </c>
      <c r="G9" s="50">
        <v>0</v>
      </c>
      <c r="H9" s="49" t="s">
        <v>173</v>
      </c>
      <c r="I9" s="84"/>
    </row>
    <row r="10" ht="75" spans="1:8">
      <c r="A10" s="41" t="s">
        <v>23</v>
      </c>
      <c r="B10" s="42" t="s">
        <v>24</v>
      </c>
      <c r="C10" s="43">
        <v>2</v>
      </c>
      <c r="D10" s="43">
        <f t="shared" si="0"/>
        <v>0</v>
      </c>
      <c r="E10" s="44">
        <v>2</v>
      </c>
      <c r="F10" s="45">
        <v>1</v>
      </c>
      <c r="G10" s="44">
        <v>2</v>
      </c>
      <c r="H10" s="43" t="s">
        <v>112</v>
      </c>
    </row>
    <row r="11" ht="30" spans="1:8">
      <c r="A11" s="52" t="s">
        <v>25</v>
      </c>
      <c r="B11" s="53" t="s">
        <v>26</v>
      </c>
      <c r="C11" s="54">
        <v>0.62</v>
      </c>
      <c r="D11" s="43">
        <f t="shared" si="0"/>
        <v>0</v>
      </c>
      <c r="E11" s="55">
        <f>G11/F11</f>
        <v>0.62</v>
      </c>
      <c r="F11" s="56">
        <v>1</v>
      </c>
      <c r="G11" s="55">
        <v>0.62</v>
      </c>
      <c r="H11" s="54" t="s">
        <v>113</v>
      </c>
    </row>
    <row r="12" ht="105" spans="1:9">
      <c r="A12" s="57" t="s">
        <v>27</v>
      </c>
      <c r="B12" s="58" t="s">
        <v>29</v>
      </c>
      <c r="C12" s="59">
        <v>1.37</v>
      </c>
      <c r="D12" s="43">
        <f t="shared" si="0"/>
        <v>1.2</v>
      </c>
      <c r="E12" s="60">
        <f>G12/F12</f>
        <v>2.57</v>
      </c>
      <c r="F12" s="61">
        <v>1</v>
      </c>
      <c r="G12" s="60">
        <v>2.57</v>
      </c>
      <c r="H12" s="59" t="s">
        <v>114</v>
      </c>
      <c r="I12" s="84"/>
    </row>
    <row r="13" ht="105" spans="1:8">
      <c r="A13" s="57" t="s">
        <v>30</v>
      </c>
      <c r="B13" s="58" t="s">
        <v>31</v>
      </c>
      <c r="C13" s="59">
        <v>2.17</v>
      </c>
      <c r="D13" s="43">
        <f t="shared" si="0"/>
        <v>-1.17</v>
      </c>
      <c r="E13" s="60">
        <f t="shared" ref="E13:E39" si="1">G13/F13</f>
        <v>1</v>
      </c>
      <c r="F13" s="61">
        <v>1</v>
      </c>
      <c r="G13" s="60">
        <v>1</v>
      </c>
      <c r="H13" s="59" t="s">
        <v>115</v>
      </c>
    </row>
    <row r="14" ht="105" spans="1:8">
      <c r="A14" s="57" t="s">
        <v>32</v>
      </c>
      <c r="B14" s="58" t="s">
        <v>116</v>
      </c>
      <c r="C14" s="59">
        <v>3</v>
      </c>
      <c r="D14" s="43">
        <f t="shared" si="0"/>
        <v>-0.47</v>
      </c>
      <c r="E14" s="60">
        <f t="shared" si="1"/>
        <v>2.53</v>
      </c>
      <c r="F14" s="61">
        <v>1</v>
      </c>
      <c r="G14" s="60">
        <v>2.53</v>
      </c>
      <c r="H14" s="59" t="s">
        <v>117</v>
      </c>
    </row>
    <row r="15" ht="135" spans="1:9">
      <c r="A15" s="57" t="s">
        <v>35</v>
      </c>
      <c r="B15" s="58" t="s">
        <v>36</v>
      </c>
      <c r="C15" s="59">
        <v>0.17</v>
      </c>
      <c r="D15" s="43">
        <f t="shared" si="0"/>
        <v>0.18</v>
      </c>
      <c r="E15" s="60">
        <f t="shared" si="1"/>
        <v>0.35</v>
      </c>
      <c r="F15" s="61">
        <v>1</v>
      </c>
      <c r="G15" s="60">
        <v>0.35</v>
      </c>
      <c r="H15" s="62" t="s">
        <v>174</v>
      </c>
      <c r="I15" s="84"/>
    </row>
    <row r="16" ht="60" spans="1:9">
      <c r="A16" s="57" t="s">
        <v>37</v>
      </c>
      <c r="B16" s="58" t="s">
        <v>38</v>
      </c>
      <c r="C16" s="59">
        <v>1</v>
      </c>
      <c r="D16" s="43">
        <f t="shared" si="0"/>
        <v>-0.12</v>
      </c>
      <c r="E16" s="60">
        <f t="shared" si="1"/>
        <v>0.88</v>
      </c>
      <c r="F16" s="61">
        <v>1</v>
      </c>
      <c r="G16" s="60">
        <v>0.88</v>
      </c>
      <c r="H16" s="62" t="s">
        <v>175</v>
      </c>
      <c r="I16" s="84"/>
    </row>
    <row r="17" ht="60" spans="1:8">
      <c r="A17" s="57" t="s">
        <v>39</v>
      </c>
      <c r="B17" s="58" t="s">
        <v>40</v>
      </c>
      <c r="C17" s="59">
        <v>0.67</v>
      </c>
      <c r="D17" s="43">
        <f t="shared" si="0"/>
        <v>0</v>
      </c>
      <c r="E17" s="60">
        <f t="shared" si="1"/>
        <v>0.67</v>
      </c>
      <c r="F17" s="61">
        <v>1</v>
      </c>
      <c r="G17" s="60">
        <v>0.67</v>
      </c>
      <c r="H17" s="62" t="s">
        <v>120</v>
      </c>
    </row>
    <row r="18" ht="60" spans="1:9">
      <c r="A18" s="57" t="s">
        <v>41</v>
      </c>
      <c r="B18" s="58" t="s">
        <v>42</v>
      </c>
      <c r="C18" s="59">
        <v>15</v>
      </c>
      <c r="D18" s="43">
        <f t="shared" si="0"/>
        <v>-8.86</v>
      </c>
      <c r="E18" s="60">
        <f t="shared" si="1"/>
        <v>6.14</v>
      </c>
      <c r="F18" s="61">
        <v>1</v>
      </c>
      <c r="G18" s="60">
        <v>6.14</v>
      </c>
      <c r="H18" s="62" t="s">
        <v>176</v>
      </c>
      <c r="I18" s="84"/>
    </row>
    <row r="19" ht="90" spans="1:9">
      <c r="A19" s="63" t="s">
        <v>177</v>
      </c>
      <c r="B19" s="64" t="s">
        <v>178</v>
      </c>
      <c r="C19" s="59"/>
      <c r="D19" s="43"/>
      <c r="E19" s="60">
        <v>1.78</v>
      </c>
      <c r="F19" s="61">
        <v>1</v>
      </c>
      <c r="G19" s="60">
        <v>1.78</v>
      </c>
      <c r="H19" s="59" t="s">
        <v>179</v>
      </c>
      <c r="I19" s="84"/>
    </row>
    <row r="20" ht="409.5" spans="1:9">
      <c r="A20" s="57" t="s">
        <v>43</v>
      </c>
      <c r="B20" s="58" t="s">
        <v>44</v>
      </c>
      <c r="C20" s="59">
        <v>50.85</v>
      </c>
      <c r="D20" s="43">
        <f t="shared" si="0"/>
        <v>-28.49</v>
      </c>
      <c r="E20" s="60">
        <f t="shared" si="1"/>
        <v>22.36</v>
      </c>
      <c r="F20" s="61">
        <v>1</v>
      </c>
      <c r="G20" s="60">
        <v>22.36</v>
      </c>
      <c r="H20" s="59" t="s">
        <v>180</v>
      </c>
      <c r="I20" s="84"/>
    </row>
    <row r="21" ht="45" spans="1:8">
      <c r="A21" s="57" t="s">
        <v>45</v>
      </c>
      <c r="B21" s="58" t="s">
        <v>46</v>
      </c>
      <c r="C21" s="59">
        <v>8.64</v>
      </c>
      <c r="D21" s="43">
        <f t="shared" si="0"/>
        <v>0</v>
      </c>
      <c r="E21" s="60">
        <f t="shared" si="1"/>
        <v>8.64</v>
      </c>
      <c r="F21" s="61">
        <v>1</v>
      </c>
      <c r="G21" s="60">
        <v>8.64</v>
      </c>
      <c r="H21" s="59" t="s">
        <v>123</v>
      </c>
    </row>
    <row r="22" ht="98.25" customHeight="1" spans="1:9">
      <c r="A22" s="41" t="s">
        <v>47</v>
      </c>
      <c r="B22" s="42" t="s">
        <v>48</v>
      </c>
      <c r="C22" s="43">
        <v>24.63</v>
      </c>
      <c r="D22" s="43">
        <f t="shared" si="0"/>
        <v>22.91</v>
      </c>
      <c r="E22" s="65">
        <f t="shared" si="1"/>
        <v>7.92333333333333</v>
      </c>
      <c r="F22" s="45">
        <v>6</v>
      </c>
      <c r="G22" s="44">
        <v>47.54</v>
      </c>
      <c r="H22" s="43" t="s">
        <v>181</v>
      </c>
      <c r="I22" s="84"/>
    </row>
    <row r="23" ht="30" spans="1:8">
      <c r="A23" s="41" t="s">
        <v>49</v>
      </c>
      <c r="B23" s="42" t="s">
        <v>50</v>
      </c>
      <c r="C23" s="43">
        <v>2</v>
      </c>
      <c r="D23" s="43">
        <f t="shared" si="0"/>
        <v>0</v>
      </c>
      <c r="E23" s="65">
        <f t="shared" si="1"/>
        <v>2</v>
      </c>
      <c r="F23" s="45">
        <v>1</v>
      </c>
      <c r="G23" s="44">
        <v>2</v>
      </c>
      <c r="H23" s="43" t="s">
        <v>125</v>
      </c>
    </row>
    <row r="24" ht="30" spans="1:8">
      <c r="A24" s="41" t="s">
        <v>51</v>
      </c>
      <c r="B24" s="42" t="s">
        <v>52</v>
      </c>
      <c r="C24" s="43">
        <v>2</v>
      </c>
      <c r="D24" s="43">
        <f t="shared" si="0"/>
        <v>0</v>
      </c>
      <c r="E24" s="65">
        <f t="shared" si="1"/>
        <v>1</v>
      </c>
      <c r="F24" s="45">
        <v>2</v>
      </c>
      <c r="G24" s="44">
        <v>2</v>
      </c>
      <c r="H24" s="43" t="s">
        <v>126</v>
      </c>
    </row>
    <row r="25" ht="150" spans="1:9">
      <c r="A25" s="57" t="s">
        <v>53</v>
      </c>
      <c r="B25" s="58" t="s">
        <v>54</v>
      </c>
      <c r="C25" s="59">
        <v>10</v>
      </c>
      <c r="D25" s="43">
        <f t="shared" si="0"/>
        <v>15.68</v>
      </c>
      <c r="E25" s="60">
        <f t="shared" si="1"/>
        <v>2.33454545454545</v>
      </c>
      <c r="F25" s="61">
        <v>11</v>
      </c>
      <c r="G25" s="60">
        <v>25.68</v>
      </c>
      <c r="H25" s="59" t="s">
        <v>182</v>
      </c>
      <c r="I25" s="84"/>
    </row>
    <row r="26" ht="30" spans="1:9">
      <c r="A26" s="57" t="s">
        <v>55</v>
      </c>
      <c r="B26" s="58" t="s">
        <v>56</v>
      </c>
      <c r="C26" s="59">
        <v>5</v>
      </c>
      <c r="D26" s="43">
        <f t="shared" si="0"/>
        <v>0</v>
      </c>
      <c r="E26" s="60">
        <f t="shared" si="1"/>
        <v>2.5</v>
      </c>
      <c r="F26" s="61">
        <v>2</v>
      </c>
      <c r="G26" s="60">
        <v>5</v>
      </c>
      <c r="H26" s="59" t="s">
        <v>183</v>
      </c>
      <c r="I26" s="84"/>
    </row>
    <row r="27" ht="30" spans="1:8">
      <c r="A27" s="52" t="s">
        <v>57</v>
      </c>
      <c r="B27" s="53" t="s">
        <v>58</v>
      </c>
      <c r="C27" s="54">
        <v>3.6</v>
      </c>
      <c r="D27" s="43">
        <f t="shared" si="0"/>
        <v>0</v>
      </c>
      <c r="E27" s="55">
        <f t="shared" si="1"/>
        <v>3.6</v>
      </c>
      <c r="F27" s="56">
        <v>1</v>
      </c>
      <c r="G27" s="55">
        <v>3.6</v>
      </c>
      <c r="H27" s="54" t="s">
        <v>129</v>
      </c>
    </row>
    <row r="28" ht="60" spans="1:8">
      <c r="A28" s="52" t="s">
        <v>59</v>
      </c>
      <c r="B28" s="53" t="s">
        <v>60</v>
      </c>
      <c r="C28" s="54">
        <v>29.24</v>
      </c>
      <c r="D28" s="43">
        <f t="shared" si="0"/>
        <v>-5.55</v>
      </c>
      <c r="E28" s="55">
        <f t="shared" si="1"/>
        <v>23.69</v>
      </c>
      <c r="F28" s="56">
        <v>1</v>
      </c>
      <c r="G28" s="55">
        <v>23.69</v>
      </c>
      <c r="H28" s="54" t="s">
        <v>130</v>
      </c>
    </row>
    <row r="29" ht="90" spans="1:8">
      <c r="A29" s="66" t="s">
        <v>184</v>
      </c>
      <c r="B29" s="67" t="s">
        <v>185</v>
      </c>
      <c r="C29" s="68"/>
      <c r="D29" s="68"/>
      <c r="E29" s="69">
        <v>40</v>
      </c>
      <c r="F29" s="70">
        <v>1</v>
      </c>
      <c r="G29" s="69">
        <v>40</v>
      </c>
      <c r="H29" s="68" t="s">
        <v>186</v>
      </c>
    </row>
    <row r="30" ht="75" spans="1:8">
      <c r="A30" s="71" t="s">
        <v>187</v>
      </c>
      <c r="B30" s="72" t="s">
        <v>188</v>
      </c>
      <c r="C30" s="73">
        <v>14</v>
      </c>
      <c r="D30" s="49">
        <f>G30-C30</f>
        <v>20.58</v>
      </c>
      <c r="E30" s="74">
        <v>3.84</v>
      </c>
      <c r="F30" s="75">
        <v>9</v>
      </c>
      <c r="G30" s="74">
        <v>34.58</v>
      </c>
      <c r="H30" s="76" t="s">
        <v>189</v>
      </c>
    </row>
    <row r="31" ht="30" spans="1:9">
      <c r="A31" s="66" t="s">
        <v>190</v>
      </c>
      <c r="B31" s="72" t="s">
        <v>191</v>
      </c>
      <c r="C31" s="73"/>
      <c r="D31" s="49"/>
      <c r="E31" s="74">
        <v>0</v>
      </c>
      <c r="F31" s="75">
        <v>0</v>
      </c>
      <c r="G31" s="74">
        <v>0</v>
      </c>
      <c r="H31" s="77" t="s">
        <v>192</v>
      </c>
      <c r="I31" s="84"/>
    </row>
    <row r="32" ht="120" spans="1:8">
      <c r="A32" s="71" t="s">
        <v>193</v>
      </c>
      <c r="B32" s="72" t="s">
        <v>62</v>
      </c>
      <c r="C32" s="73">
        <v>19.12</v>
      </c>
      <c r="D32" s="49">
        <f t="shared" si="0"/>
        <v>-1.12</v>
      </c>
      <c r="E32" s="74">
        <f t="shared" si="1"/>
        <v>4.5</v>
      </c>
      <c r="F32" s="75">
        <v>4</v>
      </c>
      <c r="G32" s="74">
        <v>18</v>
      </c>
      <c r="H32" s="73" t="s">
        <v>131</v>
      </c>
    </row>
    <row r="33" s="35" customFormat="1" ht="105" spans="1:10">
      <c r="A33" s="47" t="s">
        <v>194</v>
      </c>
      <c r="B33" s="48" t="s">
        <v>64</v>
      </c>
      <c r="C33" s="49">
        <v>49.92</v>
      </c>
      <c r="D33" s="49">
        <f t="shared" si="0"/>
        <v>-23.23</v>
      </c>
      <c r="E33" s="78">
        <v>5.33</v>
      </c>
      <c r="F33" s="51">
        <v>5</v>
      </c>
      <c r="G33" s="50">
        <v>26.69</v>
      </c>
      <c r="H33" s="49" t="s">
        <v>195</v>
      </c>
      <c r="I33" s="85"/>
      <c r="J33" s="35" t="s">
        <v>196</v>
      </c>
    </row>
    <row r="34" ht="60" spans="1:9">
      <c r="A34" s="52" t="s">
        <v>65</v>
      </c>
      <c r="B34" s="53" t="s">
        <v>66</v>
      </c>
      <c r="C34" s="54">
        <v>13.2</v>
      </c>
      <c r="D34" s="43">
        <f t="shared" si="0"/>
        <v>17.46</v>
      </c>
      <c r="E34" s="55">
        <f t="shared" si="1"/>
        <v>10.22</v>
      </c>
      <c r="F34" s="56">
        <v>3</v>
      </c>
      <c r="G34" s="55">
        <v>30.66</v>
      </c>
      <c r="H34" s="54" t="s">
        <v>197</v>
      </c>
      <c r="I34" s="84"/>
    </row>
    <row r="35" ht="60" spans="1:9">
      <c r="A35" s="41" t="s">
        <v>67</v>
      </c>
      <c r="B35" s="42" t="s">
        <v>68</v>
      </c>
      <c r="C35" s="43">
        <v>12.2</v>
      </c>
      <c r="D35" s="43">
        <f t="shared" si="0"/>
        <v>2.55</v>
      </c>
      <c r="E35" s="65">
        <f t="shared" si="1"/>
        <v>3.6875</v>
      </c>
      <c r="F35" s="45">
        <v>4</v>
      </c>
      <c r="G35" s="44">
        <v>14.75</v>
      </c>
      <c r="H35" s="43" t="s">
        <v>198</v>
      </c>
      <c r="I35" s="84"/>
    </row>
    <row r="36" ht="120" spans="1:9">
      <c r="A36" s="41" t="s">
        <v>199</v>
      </c>
      <c r="B36" s="42" t="s">
        <v>200</v>
      </c>
      <c r="C36" s="43">
        <v>0</v>
      </c>
      <c r="D36" s="43">
        <v>0</v>
      </c>
      <c r="E36" s="65">
        <v>0</v>
      </c>
      <c r="F36" s="45">
        <v>1</v>
      </c>
      <c r="G36" s="44">
        <v>12</v>
      </c>
      <c r="H36" s="43" t="s">
        <v>201</v>
      </c>
      <c r="I36" s="84"/>
    </row>
    <row r="37" ht="30" spans="1:10">
      <c r="A37" s="41" t="s">
        <v>202</v>
      </c>
      <c r="B37" s="42" t="s">
        <v>70</v>
      </c>
      <c r="C37" s="43">
        <v>20.1</v>
      </c>
      <c r="D37" s="43">
        <f>G37-C37</f>
        <v>0.899999999999999</v>
      </c>
      <c r="E37" s="65">
        <f>G37/F37</f>
        <v>10.5</v>
      </c>
      <c r="F37" s="45">
        <v>2</v>
      </c>
      <c r="G37" s="44">
        <v>21</v>
      </c>
      <c r="H37" s="43" t="s">
        <v>203</v>
      </c>
      <c r="I37" s="84"/>
      <c r="J37" t="s">
        <v>204</v>
      </c>
    </row>
    <row r="38" ht="135" spans="1:8">
      <c r="A38" s="52" t="s">
        <v>71</v>
      </c>
      <c r="B38" s="53" t="s">
        <v>72</v>
      </c>
      <c r="C38" s="54">
        <v>8.99</v>
      </c>
      <c r="D38" s="43">
        <f t="shared" ref="D38" si="2">G38-C38</f>
        <v>0</v>
      </c>
      <c r="E38" s="55">
        <f t="shared" ref="E38" si="3">G38/F38</f>
        <v>2.2475</v>
      </c>
      <c r="F38" s="56">
        <v>4</v>
      </c>
      <c r="G38" s="55">
        <v>8.99</v>
      </c>
      <c r="H38" s="54" t="s">
        <v>136</v>
      </c>
    </row>
    <row r="39" ht="78.75" spans="1:8">
      <c r="A39" s="66" t="s">
        <v>205</v>
      </c>
      <c r="B39" s="72" t="s">
        <v>206</v>
      </c>
      <c r="C39" s="73" t="s">
        <v>207</v>
      </c>
      <c r="D39" s="49"/>
      <c r="E39" s="74">
        <v>0.3</v>
      </c>
      <c r="F39" s="75">
        <v>10</v>
      </c>
      <c r="G39" s="74">
        <v>3</v>
      </c>
      <c r="H39" s="79" t="s">
        <v>208</v>
      </c>
    </row>
    <row r="40" ht="150" spans="1:8">
      <c r="A40" s="80" t="s">
        <v>73</v>
      </c>
      <c r="B40" s="81" t="s">
        <v>209</v>
      </c>
      <c r="C40" s="82">
        <v>0</v>
      </c>
      <c r="D40" s="43">
        <f>G40-C40</f>
        <v>70</v>
      </c>
      <c r="E40" s="65">
        <f>G40/F40</f>
        <v>70</v>
      </c>
      <c r="F40" s="45">
        <v>1</v>
      </c>
      <c r="G40" s="44">
        <v>70</v>
      </c>
      <c r="H40" s="43" t="s">
        <v>137</v>
      </c>
    </row>
    <row r="41" ht="30" spans="1:8">
      <c r="A41" s="41" t="s">
        <v>75</v>
      </c>
      <c r="B41" s="83" t="s">
        <v>77</v>
      </c>
      <c r="C41" s="82"/>
      <c r="D41" s="43"/>
      <c r="E41" s="65"/>
      <c r="F41" s="45"/>
      <c r="G41" s="44"/>
      <c r="H41" s="43"/>
    </row>
    <row r="42" spans="1:8">
      <c r="A42" s="41" t="str">
        <f>A41</f>
        <v>16.4.1.4.2</v>
      </c>
      <c r="B42" s="81" t="s">
        <v>78</v>
      </c>
      <c r="C42" s="82"/>
      <c r="D42" s="43"/>
      <c r="E42" s="65">
        <v>50400</v>
      </c>
      <c r="F42" s="45">
        <v>1</v>
      </c>
      <c r="G42" s="44">
        <f>(E42*F42*12)/100000</f>
        <v>6.048</v>
      </c>
      <c r="H42" s="43" t="s">
        <v>138</v>
      </c>
    </row>
    <row r="43" spans="1:8">
      <c r="A43" s="41" t="str">
        <f>A42</f>
        <v>16.4.1.4.2</v>
      </c>
      <c r="B43" s="81" t="s">
        <v>79</v>
      </c>
      <c r="C43" s="82"/>
      <c r="D43" s="43"/>
      <c r="E43" s="65">
        <v>42000</v>
      </c>
      <c r="F43" s="45">
        <v>1</v>
      </c>
      <c r="G43" s="44">
        <f>(E43*F43*12)/100000</f>
        <v>5.04</v>
      </c>
      <c r="H43" s="43" t="s">
        <v>139</v>
      </c>
    </row>
    <row r="44" spans="1:8">
      <c r="A44" s="41" t="str">
        <f t="shared" ref="A44:A46" si="4">A43</f>
        <v>16.4.1.4.2</v>
      </c>
      <c r="B44" s="81" t="s">
        <v>80</v>
      </c>
      <c r="C44" s="82"/>
      <c r="D44" s="43"/>
      <c r="E44" s="65">
        <v>44670</v>
      </c>
      <c r="F44" s="45">
        <v>1</v>
      </c>
      <c r="G44" s="44">
        <f>(E44*F44*12)/100000</f>
        <v>5.3604</v>
      </c>
      <c r="H44" s="43" t="s">
        <v>140</v>
      </c>
    </row>
    <row r="45" spans="1:8">
      <c r="A45" s="41" t="str">
        <f t="shared" si="4"/>
        <v>16.4.1.4.2</v>
      </c>
      <c r="B45" s="81" t="s">
        <v>81</v>
      </c>
      <c r="C45" s="82"/>
      <c r="D45" s="43"/>
      <c r="E45" s="65">
        <v>44670</v>
      </c>
      <c r="F45" s="45">
        <v>1</v>
      </c>
      <c r="G45" s="44">
        <f>(E45*F45*12)/100000</f>
        <v>5.3604</v>
      </c>
      <c r="H45" s="43" t="s">
        <v>141</v>
      </c>
    </row>
    <row r="46" spans="1:8">
      <c r="A46" s="41" t="str">
        <f t="shared" si="4"/>
        <v>16.4.1.4.2</v>
      </c>
      <c r="B46" s="81" t="s">
        <v>82</v>
      </c>
      <c r="C46" s="82"/>
      <c r="D46" s="43"/>
      <c r="E46" s="65">
        <v>56157</v>
      </c>
      <c r="F46" s="45">
        <v>1</v>
      </c>
      <c r="G46" s="44">
        <f>(E46*F46*12)/100000</f>
        <v>6.73884</v>
      </c>
      <c r="H46" s="43" t="s">
        <v>142</v>
      </c>
    </row>
    <row r="47" spans="1:8">
      <c r="A47" s="41" t="s">
        <v>83</v>
      </c>
      <c r="B47" s="83" t="s">
        <v>84</v>
      </c>
      <c r="C47" s="82"/>
      <c r="D47" s="43"/>
      <c r="E47" s="65"/>
      <c r="F47" s="45"/>
      <c r="G47" s="44"/>
      <c r="H47" s="43"/>
    </row>
    <row r="48" ht="30" spans="1:8">
      <c r="A48" s="41" t="str">
        <f>A47</f>
        <v>16.4.1.4.7</v>
      </c>
      <c r="B48" s="81" t="s">
        <v>85</v>
      </c>
      <c r="C48" s="82"/>
      <c r="D48" s="43"/>
      <c r="E48" s="65">
        <v>25525</v>
      </c>
      <c r="F48" s="45">
        <v>1</v>
      </c>
      <c r="G48" s="44">
        <f>(E48*F48*12)/100000</f>
        <v>3.063</v>
      </c>
      <c r="H48" s="43" t="s">
        <v>143</v>
      </c>
    </row>
    <row r="49" ht="30" customHeight="1" spans="1:8">
      <c r="A49" s="41" t="s">
        <v>86</v>
      </c>
      <c r="B49" s="83" t="s">
        <v>87</v>
      </c>
      <c r="C49" s="82"/>
      <c r="D49" s="43"/>
      <c r="E49" s="65"/>
      <c r="F49" s="45"/>
      <c r="G49" s="44"/>
      <c r="H49" s="43"/>
    </row>
    <row r="50" ht="30" spans="1:8">
      <c r="A50" s="41" t="str">
        <f>A49</f>
        <v>16.4.1.4.8</v>
      </c>
      <c r="B50" s="81" t="s">
        <v>88</v>
      </c>
      <c r="C50" s="82"/>
      <c r="D50" s="43"/>
      <c r="E50" s="65">
        <v>22973</v>
      </c>
      <c r="F50" s="45">
        <v>2</v>
      </c>
      <c r="G50" s="44">
        <f>(E50*F50*12)/100000</f>
        <v>5.51352</v>
      </c>
      <c r="H50" s="43" t="s">
        <v>144</v>
      </c>
    </row>
    <row r="51" ht="30" spans="1:8">
      <c r="A51" s="41" t="s">
        <v>89</v>
      </c>
      <c r="B51" s="83" t="s">
        <v>90</v>
      </c>
      <c r="C51" s="82"/>
      <c r="D51" s="43"/>
      <c r="E51" s="65"/>
      <c r="F51" s="65"/>
      <c r="G51" s="65"/>
      <c r="H51" s="65"/>
    </row>
    <row r="52" spans="1:8">
      <c r="A52" s="41" t="s">
        <v>89</v>
      </c>
      <c r="B52" s="81" t="s">
        <v>91</v>
      </c>
      <c r="C52" s="82"/>
      <c r="D52" s="43"/>
      <c r="E52" s="65">
        <v>44670</v>
      </c>
      <c r="F52" s="45">
        <v>8</v>
      </c>
      <c r="G52" s="44">
        <f>(E52*F52*12)/100000</f>
        <v>42.8832</v>
      </c>
      <c r="H52" s="43" t="s">
        <v>145</v>
      </c>
    </row>
    <row r="53" spans="1:8">
      <c r="A53" s="41" t="str">
        <f>A52</f>
        <v>16.4.2.2.2</v>
      </c>
      <c r="B53" s="81" t="str">
        <f>B52</f>
        <v>DVBD Consultant</v>
      </c>
      <c r="C53" s="82"/>
      <c r="D53" s="43"/>
      <c r="E53" s="65">
        <v>42543</v>
      </c>
      <c r="F53" s="45">
        <v>1</v>
      </c>
      <c r="G53" s="44">
        <f>(E53*F53*12)/100000</f>
        <v>5.10516</v>
      </c>
      <c r="H53" s="43" t="s">
        <v>146</v>
      </c>
    </row>
    <row r="54" spans="1:8">
      <c r="A54" s="41" t="s">
        <v>92</v>
      </c>
      <c r="B54" s="83" t="s">
        <v>84</v>
      </c>
      <c r="C54" s="82"/>
      <c r="D54" s="43"/>
      <c r="E54" s="65"/>
      <c r="F54" s="45"/>
      <c r="G54" s="44"/>
      <c r="H54" s="43"/>
    </row>
    <row r="55" ht="30" spans="1:8">
      <c r="A55" s="41" t="str">
        <f>A54</f>
        <v>16.4.3.2.6</v>
      </c>
      <c r="B55" s="81" t="s">
        <v>93</v>
      </c>
      <c r="C55" s="82"/>
      <c r="D55" s="43"/>
      <c r="E55" s="65">
        <v>17868</v>
      </c>
      <c r="F55" s="45">
        <v>9</v>
      </c>
      <c r="G55" s="44">
        <f>(E55*F55*12)/100000</f>
        <v>19.29744</v>
      </c>
      <c r="H55" s="43" t="s">
        <v>147</v>
      </c>
    </row>
    <row r="56" spans="1:8">
      <c r="A56" s="41" t="s">
        <v>94</v>
      </c>
      <c r="B56" s="83" t="s">
        <v>95</v>
      </c>
      <c r="C56" s="82"/>
      <c r="D56" s="43"/>
      <c r="E56" s="65"/>
      <c r="F56" s="45"/>
      <c r="G56" s="44"/>
      <c r="H56" s="43"/>
    </row>
    <row r="57" ht="30" spans="1:8">
      <c r="A57" s="41" t="str">
        <f>A56</f>
        <v>16.4.2.2.7</v>
      </c>
      <c r="B57" s="81" t="s">
        <v>96</v>
      </c>
      <c r="C57" s="82"/>
      <c r="D57" s="43"/>
      <c r="E57" s="65">
        <v>15435</v>
      </c>
      <c r="F57" s="45">
        <v>2</v>
      </c>
      <c r="G57" s="44">
        <f t="shared" ref="G57:G64" si="5">(E57*F57*12)/100000</f>
        <v>3.7044</v>
      </c>
      <c r="H57" s="43" t="s">
        <v>148</v>
      </c>
    </row>
    <row r="58" ht="29.25" customHeight="1" spans="1:8">
      <c r="A58" s="41" t="str">
        <f>A57</f>
        <v>16.4.2.2.7</v>
      </c>
      <c r="B58" s="81" t="str">
        <f>B57</f>
        <v>Malaria Technical Supervisors</v>
      </c>
      <c r="C58" s="82"/>
      <c r="D58" s="43"/>
      <c r="E58" s="65">
        <v>17017</v>
      </c>
      <c r="F58" s="45">
        <v>9</v>
      </c>
      <c r="G58" s="44">
        <f t="shared" si="5"/>
        <v>18.37836</v>
      </c>
      <c r="H58" s="43" t="s">
        <v>149</v>
      </c>
    </row>
    <row r="59" ht="30" customHeight="1" spans="1:8">
      <c r="A59" s="41" t="str">
        <f>A58</f>
        <v>16.4.2.2.7</v>
      </c>
      <c r="B59" s="81" t="str">
        <f>B58</f>
        <v>Malaria Technical Supervisors</v>
      </c>
      <c r="C59" s="82"/>
      <c r="D59" s="43"/>
      <c r="E59" s="65">
        <v>18239</v>
      </c>
      <c r="F59" s="45">
        <v>1</v>
      </c>
      <c r="G59" s="44">
        <f t="shared" si="5"/>
        <v>2.18868</v>
      </c>
      <c r="H59" s="43" t="s">
        <v>150</v>
      </c>
    </row>
    <row r="60" ht="30" spans="1:8">
      <c r="A60" s="41" t="str">
        <f>A59</f>
        <v>16.4.2.2.7</v>
      </c>
      <c r="B60" s="81" t="str">
        <f>B59</f>
        <v>Malaria Technical Supervisors</v>
      </c>
      <c r="C60" s="82"/>
      <c r="D60" s="43"/>
      <c r="E60" s="65">
        <v>22436</v>
      </c>
      <c r="F60" s="45">
        <v>3</v>
      </c>
      <c r="G60" s="44">
        <f t="shared" si="5"/>
        <v>8.07696</v>
      </c>
      <c r="H60" s="43" t="s">
        <v>151</v>
      </c>
    </row>
    <row r="61" ht="30" spans="1:8">
      <c r="A61" s="41" t="str">
        <f t="shared" ref="A61:A64" si="6">A60</f>
        <v>16.4.2.2.7</v>
      </c>
      <c r="B61" s="81" t="str">
        <f t="shared" ref="B61:B64" si="7">B60</f>
        <v>Malaria Technical Supervisors</v>
      </c>
      <c r="C61" s="82"/>
      <c r="D61" s="43"/>
      <c r="E61" s="65">
        <v>16206</v>
      </c>
      <c r="F61" s="45">
        <v>2</v>
      </c>
      <c r="G61" s="44">
        <f t="shared" si="5"/>
        <v>3.88944</v>
      </c>
      <c r="H61" s="43" t="s">
        <v>152</v>
      </c>
    </row>
    <row r="62" ht="30" spans="1:8">
      <c r="A62" s="41" t="str">
        <f t="shared" si="6"/>
        <v>16.4.2.2.7</v>
      </c>
      <c r="B62" s="81" t="str">
        <f t="shared" si="7"/>
        <v>Malaria Technical Supervisors</v>
      </c>
      <c r="C62" s="82"/>
      <c r="D62" s="43"/>
      <c r="E62" s="65">
        <v>19165</v>
      </c>
      <c r="F62" s="45">
        <v>1</v>
      </c>
      <c r="G62" s="44">
        <f t="shared" si="5"/>
        <v>2.2998</v>
      </c>
      <c r="H62" s="43" t="s">
        <v>153</v>
      </c>
    </row>
    <row r="63" ht="30" spans="1:8">
      <c r="A63" s="41" t="str">
        <f t="shared" si="6"/>
        <v>16.4.2.2.7</v>
      </c>
      <c r="B63" s="81" t="str">
        <f t="shared" si="7"/>
        <v>Malaria Technical Supervisors</v>
      </c>
      <c r="C63" s="82"/>
      <c r="D63" s="43"/>
      <c r="E63" s="65">
        <v>18424</v>
      </c>
      <c r="F63" s="45">
        <v>2</v>
      </c>
      <c r="G63" s="44">
        <f t="shared" si="5"/>
        <v>4.42176</v>
      </c>
      <c r="H63" s="43" t="str">
        <f>H62</f>
        <v>Salary of 1 MTS inclusicves of 5%^ increment</v>
      </c>
    </row>
    <row r="64" ht="30" spans="1:8">
      <c r="A64" s="41" t="str">
        <f t="shared" si="6"/>
        <v>16.4.2.2.7</v>
      </c>
      <c r="B64" s="81" t="str">
        <f t="shared" si="7"/>
        <v>Malaria Technical Supervisors</v>
      </c>
      <c r="C64" s="82"/>
      <c r="D64" s="43"/>
      <c r="E64" s="65">
        <v>18609</v>
      </c>
      <c r="F64" s="45">
        <v>2</v>
      </c>
      <c r="G64" s="44">
        <f t="shared" si="5"/>
        <v>4.46616</v>
      </c>
      <c r="H64" s="43" t="s">
        <v>154</v>
      </c>
    </row>
    <row r="65" spans="1:8">
      <c r="A65" s="86" t="s">
        <v>97</v>
      </c>
      <c r="B65" s="86"/>
      <c r="C65" s="87">
        <v>1124</v>
      </c>
      <c r="D65" s="87">
        <f>G65-C65</f>
        <v>-376.20448</v>
      </c>
      <c r="E65" s="87">
        <f>D65/C65%</f>
        <v>-33.4701494661922</v>
      </c>
      <c r="F65" s="86"/>
      <c r="G65" s="87">
        <f>SUM(G3:G64)</f>
        <v>747.79552</v>
      </c>
      <c r="H65" s="86"/>
    </row>
    <row r="66" spans="1:8">
      <c r="A66" s="88" t="s">
        <v>155</v>
      </c>
      <c r="B66" s="89"/>
      <c r="C66" s="89"/>
      <c r="D66" s="89"/>
      <c r="E66" s="4"/>
      <c r="F66" s="4"/>
      <c r="G66" s="13">
        <f>G65-G67</f>
        <v>668.22552</v>
      </c>
      <c r="H66" s="13"/>
    </row>
    <row r="67" spans="1:8">
      <c r="A67" s="88" t="s">
        <v>156</v>
      </c>
      <c r="B67" s="89"/>
      <c r="C67" s="89"/>
      <c r="D67" s="89"/>
      <c r="E67" s="4"/>
      <c r="F67" s="4"/>
      <c r="G67" s="13">
        <f>SUM(G11,G28,G32,G34,G39,G27)</f>
        <v>79.57</v>
      </c>
      <c r="H67" s="13"/>
    </row>
    <row r="68" spans="1:8">
      <c r="A68" s="88" t="s">
        <v>157</v>
      </c>
      <c r="B68" s="89"/>
      <c r="C68" s="89"/>
      <c r="D68" s="89"/>
      <c r="E68" s="4"/>
      <c r="F68" s="4"/>
      <c r="G68" s="13">
        <f>SUM(G12:G21,G25:G26)</f>
        <v>77.6</v>
      </c>
      <c r="H68" s="13"/>
    </row>
    <row r="69" spans="1:8">
      <c r="A69" s="88" t="s">
        <v>158</v>
      </c>
      <c r="B69" s="89"/>
      <c r="C69" s="89"/>
      <c r="D69" s="89"/>
      <c r="E69" s="4"/>
      <c r="F69" s="4"/>
      <c r="G69" s="13">
        <f>G65-G68</f>
        <v>670.19552</v>
      </c>
      <c r="H69" s="13"/>
    </row>
    <row r="70" spans="7:7">
      <c r="G70" s="90">
        <f>G65-SUM(G42:G64)</f>
        <v>595.96</v>
      </c>
    </row>
  </sheetData>
  <mergeCells count="4">
    <mergeCell ref="A66:B66"/>
    <mergeCell ref="A67:B67"/>
    <mergeCell ref="A68:B68"/>
    <mergeCell ref="A69:B69"/>
  </mergeCells>
  <pageMargins left="0.24" right="0.17" top="0.46" bottom="0.43" header="0.3" footer="0.3"/>
  <pageSetup paperSize="9" scale="58"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15"/>
  <sheetViews>
    <sheetView view="pageBreakPreview" zoomScale="60" zoomScaleNormal="70" zoomScaleSheetLayoutView="60" workbookViewId="0">
      <selection activeCell="R23" sqref="R23"/>
    </sheetView>
  </sheetViews>
  <sheetFormatPr defaultColWidth="9.14285714285714" defaultRowHeight="15"/>
  <cols>
    <col min="1" max="12" width="9.14285714285714" style="15"/>
    <col min="13" max="13" width="10.1428571428571" style="15" customWidth="1"/>
    <col min="14" max="16384" width="9.14285714285714" style="15"/>
  </cols>
  <sheetData>
    <row r="1" spans="1:1">
      <c r="A1" s="15" t="s">
        <v>210</v>
      </c>
    </row>
    <row r="2" ht="42.75" spans="1:24">
      <c r="A2" s="26" t="s">
        <v>211</v>
      </c>
      <c r="B2" s="27" t="s">
        <v>212</v>
      </c>
      <c r="C2" s="27" t="s">
        <v>213</v>
      </c>
      <c r="D2" s="28" t="s">
        <v>5</v>
      </c>
      <c r="E2" s="28" t="s">
        <v>214</v>
      </c>
      <c r="F2" s="28" t="s">
        <v>6</v>
      </c>
      <c r="G2" s="28" t="s">
        <v>214</v>
      </c>
      <c r="H2" s="28" t="s">
        <v>7</v>
      </c>
      <c r="I2" s="28" t="s">
        <v>214</v>
      </c>
      <c r="J2" s="28" t="s">
        <v>8</v>
      </c>
      <c r="K2" s="28" t="s">
        <v>214</v>
      </c>
      <c r="L2" s="28" t="s">
        <v>9</v>
      </c>
      <c r="M2" s="28" t="s">
        <v>214</v>
      </c>
      <c r="N2" s="28" t="s">
        <v>10</v>
      </c>
      <c r="O2" s="28" t="s">
        <v>214</v>
      </c>
      <c r="P2" s="28" t="s">
        <v>11</v>
      </c>
      <c r="Q2" s="28" t="s">
        <v>214</v>
      </c>
      <c r="R2" s="28" t="s">
        <v>12</v>
      </c>
      <c r="S2" s="28" t="s">
        <v>214</v>
      </c>
      <c r="T2" s="28" t="s">
        <v>13</v>
      </c>
      <c r="U2" s="28" t="s">
        <v>214</v>
      </c>
      <c r="V2" s="28" t="s">
        <v>14</v>
      </c>
      <c r="W2" s="28" t="s">
        <v>215</v>
      </c>
      <c r="X2" s="28" t="s">
        <v>107</v>
      </c>
    </row>
    <row r="3" ht="45" spans="1:24">
      <c r="A3" s="23" t="s">
        <v>216</v>
      </c>
      <c r="B3" s="24">
        <v>2750</v>
      </c>
      <c r="C3" s="24">
        <v>10</v>
      </c>
      <c r="D3" s="22">
        <v>10</v>
      </c>
      <c r="E3" s="22">
        <f>(D3*B3)/100000</f>
        <v>0.275</v>
      </c>
      <c r="F3" s="22"/>
      <c r="G3" s="22">
        <f>(F3*B3)/100000</f>
        <v>0</v>
      </c>
      <c r="H3" s="22"/>
      <c r="I3" s="22">
        <f>(H3*B3)/100000</f>
        <v>0</v>
      </c>
      <c r="J3" s="22"/>
      <c r="K3" s="22">
        <f>(J3*B3)/100000</f>
        <v>0</v>
      </c>
      <c r="L3" s="22"/>
      <c r="M3" s="22">
        <f>(L3*B3)/100000</f>
        <v>0</v>
      </c>
      <c r="N3" s="22"/>
      <c r="O3" s="22">
        <f>(N3*B3)/100000</f>
        <v>0</v>
      </c>
      <c r="P3" s="22"/>
      <c r="Q3" s="22">
        <f>(P3*B3)/100000</f>
        <v>0</v>
      </c>
      <c r="R3" s="22"/>
      <c r="S3" s="22">
        <f>(R3*B3)/100000</f>
        <v>0</v>
      </c>
      <c r="T3" s="22"/>
      <c r="U3" s="22">
        <f>(T3*B3)/100000</f>
        <v>0</v>
      </c>
      <c r="V3" s="22"/>
      <c r="W3" s="22">
        <f>(V3*B3)/100000</f>
        <v>0</v>
      </c>
      <c r="X3" s="22">
        <f>SUM(F3,H3,J3,L3,N3,P3,R3,T3,V3,D3)</f>
        <v>10</v>
      </c>
    </row>
    <row r="4" ht="30" spans="1:24">
      <c r="A4" s="23" t="s">
        <v>217</v>
      </c>
      <c r="B4" s="24">
        <v>500</v>
      </c>
      <c r="C4" s="24">
        <v>90</v>
      </c>
      <c r="D4" s="22">
        <v>90</v>
      </c>
      <c r="E4" s="22">
        <f t="shared" ref="E4:E14" si="0">(D4*B4)/100000</f>
        <v>0.45</v>
      </c>
      <c r="F4" s="22"/>
      <c r="G4" s="22">
        <f t="shared" ref="G4:G14" si="1">(F4*B4)/100000</f>
        <v>0</v>
      </c>
      <c r="H4" s="22"/>
      <c r="I4" s="22">
        <f t="shared" ref="I4:I14" si="2">(H4*B4)/100000</f>
        <v>0</v>
      </c>
      <c r="J4" s="22"/>
      <c r="K4" s="22">
        <f t="shared" ref="K4:K14" si="3">(J4*B4)/100000</f>
        <v>0</v>
      </c>
      <c r="L4" s="22"/>
      <c r="M4" s="22">
        <f t="shared" ref="M4:M14" si="4">(L4*B4)/100000</f>
        <v>0</v>
      </c>
      <c r="N4" s="22"/>
      <c r="O4" s="22">
        <f t="shared" ref="O4:O14" si="5">(N4*B4)/100000</f>
        <v>0</v>
      </c>
      <c r="P4" s="22"/>
      <c r="Q4" s="22">
        <f t="shared" ref="Q4:Q14" si="6">(P4*B4)/100000</f>
        <v>0</v>
      </c>
      <c r="R4" s="22"/>
      <c r="S4" s="22">
        <f t="shared" ref="S4:S14" si="7">(R4*B4)/100000</f>
        <v>0</v>
      </c>
      <c r="T4" s="22"/>
      <c r="U4" s="22">
        <f t="shared" ref="U4:U14" si="8">(T4*B4)/100000</f>
        <v>0</v>
      </c>
      <c r="V4" s="22"/>
      <c r="W4" s="22">
        <f t="shared" ref="W4:W14" si="9">(V4*B4)/100000</f>
        <v>0</v>
      </c>
      <c r="X4" s="22">
        <f t="shared" ref="X4:X14" si="10">SUM(F4,H4,J4,L4,N4,P4,R4,T4,V4,D4)</f>
        <v>90</v>
      </c>
    </row>
    <row r="5" spans="1:24">
      <c r="A5" s="23" t="s">
        <v>218</v>
      </c>
      <c r="B5" s="24">
        <v>1500</v>
      </c>
      <c r="C5" s="24">
        <v>40</v>
      </c>
      <c r="D5" s="22">
        <v>40</v>
      </c>
      <c r="E5" s="22">
        <f t="shared" si="0"/>
        <v>0.6</v>
      </c>
      <c r="F5" s="22"/>
      <c r="G5" s="22">
        <f t="shared" si="1"/>
        <v>0</v>
      </c>
      <c r="H5" s="22"/>
      <c r="I5" s="22">
        <f t="shared" si="2"/>
        <v>0</v>
      </c>
      <c r="J5" s="22"/>
      <c r="K5" s="22">
        <f t="shared" si="3"/>
        <v>0</v>
      </c>
      <c r="L5" s="22"/>
      <c r="M5" s="22">
        <f t="shared" si="4"/>
        <v>0</v>
      </c>
      <c r="N5" s="22"/>
      <c r="O5" s="22">
        <f t="shared" si="5"/>
        <v>0</v>
      </c>
      <c r="P5" s="22"/>
      <c r="Q5" s="22">
        <f t="shared" si="6"/>
        <v>0</v>
      </c>
      <c r="R5" s="22"/>
      <c r="S5" s="22">
        <f t="shared" si="7"/>
        <v>0</v>
      </c>
      <c r="T5" s="22"/>
      <c r="U5" s="22">
        <f t="shared" si="8"/>
        <v>0</v>
      </c>
      <c r="V5" s="22"/>
      <c r="W5" s="22">
        <f t="shared" si="9"/>
        <v>0</v>
      </c>
      <c r="X5" s="22">
        <f t="shared" si="10"/>
        <v>40</v>
      </c>
    </row>
    <row r="6" ht="45" spans="1:25">
      <c r="A6" s="23" t="s">
        <v>219</v>
      </c>
      <c r="B6" s="24">
        <v>3500</v>
      </c>
      <c r="C6" s="24">
        <v>216</v>
      </c>
      <c r="D6" s="22"/>
      <c r="E6" s="22">
        <f t="shared" si="0"/>
        <v>0</v>
      </c>
      <c r="F6" s="22">
        <v>19</v>
      </c>
      <c r="G6" s="22">
        <f t="shared" si="1"/>
        <v>0.665</v>
      </c>
      <c r="H6" s="22">
        <v>18</v>
      </c>
      <c r="I6" s="22">
        <f t="shared" si="2"/>
        <v>0.63</v>
      </c>
      <c r="J6" s="22">
        <v>18</v>
      </c>
      <c r="K6" s="22">
        <f t="shared" si="3"/>
        <v>0.63</v>
      </c>
      <c r="L6" s="22">
        <v>20</v>
      </c>
      <c r="M6" s="22">
        <f t="shared" si="4"/>
        <v>0.7</v>
      </c>
      <c r="N6" s="22">
        <v>35</v>
      </c>
      <c r="O6" s="22">
        <f t="shared" si="5"/>
        <v>1.225</v>
      </c>
      <c r="P6" s="22">
        <v>35</v>
      </c>
      <c r="Q6" s="22">
        <f t="shared" si="6"/>
        <v>1.225</v>
      </c>
      <c r="R6" s="22">
        <v>33</v>
      </c>
      <c r="S6" s="22">
        <f t="shared" si="7"/>
        <v>1.155</v>
      </c>
      <c r="T6" s="22">
        <v>20</v>
      </c>
      <c r="U6" s="22">
        <f t="shared" si="8"/>
        <v>0.7</v>
      </c>
      <c r="V6" s="22">
        <v>18</v>
      </c>
      <c r="W6" s="22">
        <f t="shared" si="9"/>
        <v>0.63</v>
      </c>
      <c r="X6" s="22">
        <f t="shared" si="10"/>
        <v>216</v>
      </c>
      <c r="Y6" s="15">
        <f>X6-C6</f>
        <v>0</v>
      </c>
    </row>
    <row r="7" ht="90" spans="1:24">
      <c r="A7" s="23" t="s">
        <v>220</v>
      </c>
      <c r="B7" s="24">
        <v>3500</v>
      </c>
      <c r="C7" s="24">
        <v>216</v>
      </c>
      <c r="D7" s="22"/>
      <c r="E7" s="22">
        <f t="shared" si="0"/>
        <v>0</v>
      </c>
      <c r="F7" s="22">
        <f>F6</f>
        <v>19</v>
      </c>
      <c r="G7" s="22">
        <f t="shared" si="1"/>
        <v>0.665</v>
      </c>
      <c r="H7" s="22">
        <f t="shared" ref="H7:V7" si="11">H6</f>
        <v>18</v>
      </c>
      <c r="I7" s="22">
        <f t="shared" si="2"/>
        <v>0.63</v>
      </c>
      <c r="J7" s="22">
        <f t="shared" si="11"/>
        <v>18</v>
      </c>
      <c r="K7" s="22">
        <f t="shared" si="3"/>
        <v>0.63</v>
      </c>
      <c r="L7" s="22">
        <f t="shared" si="11"/>
        <v>20</v>
      </c>
      <c r="M7" s="22">
        <f t="shared" si="4"/>
        <v>0.7</v>
      </c>
      <c r="N7" s="22">
        <f t="shared" si="11"/>
        <v>35</v>
      </c>
      <c r="O7" s="22">
        <f t="shared" si="5"/>
        <v>1.225</v>
      </c>
      <c r="P7" s="22">
        <f t="shared" si="11"/>
        <v>35</v>
      </c>
      <c r="Q7" s="22">
        <f t="shared" si="6"/>
        <v>1.225</v>
      </c>
      <c r="R7" s="22">
        <f t="shared" si="11"/>
        <v>33</v>
      </c>
      <c r="S7" s="22">
        <f t="shared" si="7"/>
        <v>1.155</v>
      </c>
      <c r="T7" s="22">
        <f t="shared" si="11"/>
        <v>20</v>
      </c>
      <c r="U7" s="22">
        <f t="shared" si="8"/>
        <v>0.7</v>
      </c>
      <c r="V7" s="22">
        <f t="shared" si="11"/>
        <v>18</v>
      </c>
      <c r="W7" s="22">
        <f t="shared" si="9"/>
        <v>0.63</v>
      </c>
      <c r="X7" s="22">
        <f t="shared" si="10"/>
        <v>216</v>
      </c>
    </row>
    <row r="8" ht="45" spans="1:25">
      <c r="A8" s="23" t="s">
        <v>221</v>
      </c>
      <c r="B8" s="24">
        <v>10</v>
      </c>
      <c r="C8" s="24">
        <v>81000</v>
      </c>
      <c r="D8" s="22"/>
      <c r="E8" s="22">
        <f t="shared" si="0"/>
        <v>0</v>
      </c>
      <c r="F8" s="22">
        <v>9000</v>
      </c>
      <c r="G8" s="22">
        <f t="shared" si="1"/>
        <v>0.9</v>
      </c>
      <c r="H8" s="22">
        <v>9000</v>
      </c>
      <c r="I8" s="22">
        <f t="shared" si="2"/>
        <v>0.9</v>
      </c>
      <c r="J8" s="22">
        <v>5000</v>
      </c>
      <c r="K8" s="22">
        <f t="shared" si="3"/>
        <v>0.5</v>
      </c>
      <c r="L8" s="22">
        <v>9000</v>
      </c>
      <c r="M8" s="22">
        <f t="shared" si="4"/>
        <v>0.9</v>
      </c>
      <c r="N8" s="22">
        <v>12000</v>
      </c>
      <c r="O8" s="22">
        <f t="shared" si="5"/>
        <v>1.2</v>
      </c>
      <c r="P8" s="22">
        <v>12000</v>
      </c>
      <c r="Q8" s="22">
        <f t="shared" si="6"/>
        <v>1.2</v>
      </c>
      <c r="R8" s="22">
        <v>10000</v>
      </c>
      <c r="S8" s="22">
        <f t="shared" si="7"/>
        <v>1</v>
      </c>
      <c r="T8" s="22">
        <v>10000</v>
      </c>
      <c r="U8" s="22">
        <f t="shared" si="8"/>
        <v>1</v>
      </c>
      <c r="V8" s="22">
        <v>5000</v>
      </c>
      <c r="W8" s="22">
        <f t="shared" si="9"/>
        <v>0.5</v>
      </c>
      <c r="X8" s="22">
        <f t="shared" si="10"/>
        <v>81000</v>
      </c>
      <c r="Y8" s="15">
        <f>X8-C8</f>
        <v>0</v>
      </c>
    </row>
    <row r="9" ht="30" spans="1:24">
      <c r="A9" s="23" t="s">
        <v>222</v>
      </c>
      <c r="B9" s="24">
        <v>20000</v>
      </c>
      <c r="C9" s="24">
        <v>2</v>
      </c>
      <c r="D9" s="22">
        <v>2</v>
      </c>
      <c r="E9" s="22">
        <f t="shared" si="0"/>
        <v>0.4</v>
      </c>
      <c r="F9" s="22"/>
      <c r="G9" s="22">
        <f t="shared" si="1"/>
        <v>0</v>
      </c>
      <c r="H9" s="22"/>
      <c r="I9" s="22">
        <f t="shared" si="2"/>
        <v>0</v>
      </c>
      <c r="J9" s="22"/>
      <c r="K9" s="22">
        <f t="shared" si="3"/>
        <v>0</v>
      </c>
      <c r="L9" s="22"/>
      <c r="M9" s="22">
        <f t="shared" si="4"/>
        <v>0</v>
      </c>
      <c r="N9" s="22"/>
      <c r="O9" s="22">
        <f t="shared" si="5"/>
        <v>0</v>
      </c>
      <c r="P9" s="22"/>
      <c r="Q9" s="22">
        <f t="shared" si="6"/>
        <v>0</v>
      </c>
      <c r="R9" s="22"/>
      <c r="S9" s="22">
        <f t="shared" si="7"/>
        <v>0</v>
      </c>
      <c r="T9" s="22"/>
      <c r="U9" s="22">
        <f t="shared" si="8"/>
        <v>0</v>
      </c>
      <c r="V9" s="22"/>
      <c r="W9" s="22">
        <f t="shared" si="9"/>
        <v>0</v>
      </c>
      <c r="X9" s="22">
        <f t="shared" si="10"/>
        <v>2</v>
      </c>
    </row>
    <row r="10" ht="45" spans="1:24">
      <c r="A10" s="23" t="s">
        <v>223</v>
      </c>
      <c r="B10" s="24">
        <v>5937</v>
      </c>
      <c r="C10" s="24">
        <v>96</v>
      </c>
      <c r="D10" s="22"/>
      <c r="E10" s="22">
        <f t="shared" si="0"/>
        <v>0</v>
      </c>
      <c r="F10" s="22">
        <v>14</v>
      </c>
      <c r="G10" s="22">
        <f t="shared" si="1"/>
        <v>0.83118</v>
      </c>
      <c r="H10" s="22">
        <v>12</v>
      </c>
      <c r="I10" s="22">
        <f t="shared" si="2"/>
        <v>0.71244</v>
      </c>
      <c r="J10" s="22">
        <v>15</v>
      </c>
      <c r="K10" s="22">
        <f t="shared" si="3"/>
        <v>0.89055</v>
      </c>
      <c r="L10" s="22">
        <v>8</v>
      </c>
      <c r="M10" s="22">
        <f t="shared" si="4"/>
        <v>0.47496</v>
      </c>
      <c r="N10" s="22">
        <v>7</v>
      </c>
      <c r="O10" s="22">
        <f t="shared" si="5"/>
        <v>0.41559</v>
      </c>
      <c r="P10" s="22">
        <v>16</v>
      </c>
      <c r="Q10" s="22">
        <f t="shared" si="6"/>
        <v>0.94992</v>
      </c>
      <c r="R10" s="22">
        <v>8</v>
      </c>
      <c r="S10" s="22">
        <f t="shared" si="7"/>
        <v>0.47496</v>
      </c>
      <c r="T10" s="22">
        <v>6</v>
      </c>
      <c r="U10" s="22">
        <f t="shared" si="8"/>
        <v>0.35622</v>
      </c>
      <c r="V10" s="22">
        <v>8</v>
      </c>
      <c r="W10" s="22">
        <f t="shared" si="9"/>
        <v>0.47496</v>
      </c>
      <c r="X10" s="22">
        <f t="shared" si="10"/>
        <v>94</v>
      </c>
    </row>
    <row r="11" ht="45" spans="1:24">
      <c r="A11" s="23" t="s">
        <v>224</v>
      </c>
      <c r="B11" s="24">
        <v>7938</v>
      </c>
      <c r="C11" s="24">
        <v>97</v>
      </c>
      <c r="D11" s="22">
        <v>1</v>
      </c>
      <c r="E11" s="22">
        <f t="shared" si="0"/>
        <v>0.07938</v>
      </c>
      <c r="F11" s="22">
        <f>F10</f>
        <v>14</v>
      </c>
      <c r="G11" s="22">
        <f t="shared" si="1"/>
        <v>1.11132</v>
      </c>
      <c r="H11" s="22">
        <f t="shared" ref="H11:V11" si="12">H10</f>
        <v>12</v>
      </c>
      <c r="I11" s="22">
        <f t="shared" si="2"/>
        <v>0.95256</v>
      </c>
      <c r="J11" s="22">
        <f t="shared" si="12"/>
        <v>15</v>
      </c>
      <c r="K11" s="22">
        <f t="shared" si="3"/>
        <v>1.1907</v>
      </c>
      <c r="L11" s="22">
        <f t="shared" si="12"/>
        <v>8</v>
      </c>
      <c r="M11" s="22">
        <f t="shared" si="4"/>
        <v>0.63504</v>
      </c>
      <c r="N11" s="22">
        <f t="shared" si="12"/>
        <v>7</v>
      </c>
      <c r="O11" s="22">
        <f t="shared" si="5"/>
        <v>0.55566</v>
      </c>
      <c r="P11" s="22">
        <f t="shared" si="12"/>
        <v>16</v>
      </c>
      <c r="Q11" s="22">
        <f t="shared" si="6"/>
        <v>1.27008</v>
      </c>
      <c r="R11" s="22">
        <f t="shared" si="12"/>
        <v>8</v>
      </c>
      <c r="S11" s="22">
        <f t="shared" si="7"/>
        <v>0.63504</v>
      </c>
      <c r="T11" s="22">
        <f t="shared" si="12"/>
        <v>6</v>
      </c>
      <c r="U11" s="22">
        <f t="shared" si="8"/>
        <v>0.47628</v>
      </c>
      <c r="V11" s="22">
        <f t="shared" si="12"/>
        <v>8</v>
      </c>
      <c r="W11" s="22">
        <f t="shared" si="9"/>
        <v>0.63504</v>
      </c>
      <c r="X11" s="22">
        <f t="shared" si="10"/>
        <v>95</v>
      </c>
    </row>
    <row r="12" ht="60" spans="1:24">
      <c r="A12" s="23" t="s">
        <v>225</v>
      </c>
      <c r="B12" s="24">
        <v>3000</v>
      </c>
      <c r="C12" s="24">
        <v>948</v>
      </c>
      <c r="D12" s="22"/>
      <c r="E12" s="22">
        <f t="shared" si="0"/>
        <v>0</v>
      </c>
      <c r="F12" s="22">
        <v>144</v>
      </c>
      <c r="G12" s="22">
        <f t="shared" si="1"/>
        <v>4.32</v>
      </c>
      <c r="H12" s="22">
        <v>144</v>
      </c>
      <c r="I12" s="22">
        <f t="shared" si="2"/>
        <v>4.32</v>
      </c>
      <c r="J12" s="22">
        <v>168</v>
      </c>
      <c r="K12" s="22">
        <f t="shared" si="3"/>
        <v>5.04</v>
      </c>
      <c r="L12" s="22">
        <v>84</v>
      </c>
      <c r="M12" s="22">
        <f t="shared" si="4"/>
        <v>2.52</v>
      </c>
      <c r="N12" s="22">
        <v>72</v>
      </c>
      <c r="O12" s="22">
        <f t="shared" si="5"/>
        <v>2.16</v>
      </c>
      <c r="P12" s="22">
        <v>156</v>
      </c>
      <c r="Q12" s="22">
        <f t="shared" si="6"/>
        <v>4.68</v>
      </c>
      <c r="R12" s="22">
        <v>84</v>
      </c>
      <c r="S12" s="22">
        <f t="shared" si="7"/>
        <v>2.52</v>
      </c>
      <c r="T12" s="22">
        <v>60</v>
      </c>
      <c r="U12" s="22">
        <f t="shared" si="8"/>
        <v>1.8</v>
      </c>
      <c r="V12" s="22">
        <v>84</v>
      </c>
      <c r="W12" s="22">
        <f t="shared" si="9"/>
        <v>2.52</v>
      </c>
      <c r="X12" s="22">
        <f t="shared" si="10"/>
        <v>996</v>
      </c>
    </row>
    <row r="13" ht="45" spans="1:24">
      <c r="A13" s="23" t="s">
        <v>226</v>
      </c>
      <c r="B13" s="24">
        <v>50000</v>
      </c>
      <c r="C13" s="24">
        <v>1</v>
      </c>
      <c r="D13" s="22">
        <v>1</v>
      </c>
      <c r="E13" s="22">
        <f t="shared" si="0"/>
        <v>0.5</v>
      </c>
      <c r="F13" s="22"/>
      <c r="G13" s="22">
        <f t="shared" si="1"/>
        <v>0</v>
      </c>
      <c r="H13" s="22"/>
      <c r="I13" s="22">
        <f t="shared" si="2"/>
        <v>0</v>
      </c>
      <c r="J13" s="22"/>
      <c r="K13" s="22">
        <f t="shared" si="3"/>
        <v>0</v>
      </c>
      <c r="L13" s="22"/>
      <c r="M13" s="22">
        <f t="shared" si="4"/>
        <v>0</v>
      </c>
      <c r="N13" s="22"/>
      <c r="O13" s="22">
        <f t="shared" si="5"/>
        <v>0</v>
      </c>
      <c r="P13" s="22"/>
      <c r="Q13" s="22">
        <f t="shared" si="6"/>
        <v>0</v>
      </c>
      <c r="R13" s="22"/>
      <c r="S13" s="22">
        <f t="shared" si="7"/>
        <v>0</v>
      </c>
      <c r="T13" s="22"/>
      <c r="U13" s="22">
        <f t="shared" si="8"/>
        <v>0</v>
      </c>
      <c r="V13" s="22"/>
      <c r="W13" s="22">
        <f t="shared" si="9"/>
        <v>0</v>
      </c>
      <c r="X13" s="22">
        <f t="shared" si="10"/>
        <v>1</v>
      </c>
    </row>
    <row r="14" ht="60" spans="1:24">
      <c r="A14" s="23" t="s">
        <v>227</v>
      </c>
      <c r="B14" s="24">
        <v>5000</v>
      </c>
      <c r="C14" s="24">
        <v>9</v>
      </c>
      <c r="D14" s="22"/>
      <c r="E14" s="22">
        <f t="shared" si="0"/>
        <v>0</v>
      </c>
      <c r="F14" s="22">
        <v>1</v>
      </c>
      <c r="G14" s="22">
        <f t="shared" si="1"/>
        <v>0.05</v>
      </c>
      <c r="H14" s="22">
        <v>1</v>
      </c>
      <c r="I14" s="22">
        <f t="shared" si="2"/>
        <v>0.05</v>
      </c>
      <c r="J14" s="22">
        <v>1</v>
      </c>
      <c r="K14" s="22">
        <f t="shared" si="3"/>
        <v>0.05</v>
      </c>
      <c r="L14" s="22">
        <v>1</v>
      </c>
      <c r="M14" s="22">
        <f t="shared" si="4"/>
        <v>0.05</v>
      </c>
      <c r="N14" s="22">
        <v>1</v>
      </c>
      <c r="O14" s="22">
        <f t="shared" si="5"/>
        <v>0.05</v>
      </c>
      <c r="P14" s="22">
        <v>1</v>
      </c>
      <c r="Q14" s="22">
        <f t="shared" si="6"/>
        <v>0.05</v>
      </c>
      <c r="R14" s="22">
        <v>1</v>
      </c>
      <c r="S14" s="22">
        <f t="shared" si="7"/>
        <v>0.05</v>
      </c>
      <c r="T14" s="22">
        <v>1</v>
      </c>
      <c r="U14" s="22">
        <f t="shared" si="8"/>
        <v>0.05</v>
      </c>
      <c r="V14" s="22">
        <v>1</v>
      </c>
      <c r="W14" s="22">
        <f t="shared" si="9"/>
        <v>0.05</v>
      </c>
      <c r="X14" s="22">
        <f t="shared" si="10"/>
        <v>9</v>
      </c>
    </row>
    <row r="15" spans="1:24">
      <c r="A15" s="25" t="s">
        <v>107</v>
      </c>
      <c r="B15" s="25"/>
      <c r="C15" s="25"/>
      <c r="D15" s="25"/>
      <c r="E15" s="25">
        <f>SUM(E3:E14)</f>
        <v>2.30438</v>
      </c>
      <c r="F15" s="25"/>
      <c r="G15" s="25">
        <f t="shared" ref="G15:W15" si="13">SUM(G3:G14)</f>
        <v>8.5425</v>
      </c>
      <c r="H15" s="25"/>
      <c r="I15" s="25">
        <f t="shared" si="13"/>
        <v>8.195</v>
      </c>
      <c r="J15" s="25"/>
      <c r="K15" s="25">
        <f t="shared" si="13"/>
        <v>8.93125</v>
      </c>
      <c r="L15" s="25"/>
      <c r="M15" s="25">
        <f t="shared" si="13"/>
        <v>5.98</v>
      </c>
      <c r="N15" s="25"/>
      <c r="O15" s="25">
        <f t="shared" si="13"/>
        <v>6.83125</v>
      </c>
      <c r="P15" s="25"/>
      <c r="Q15" s="25">
        <f t="shared" si="13"/>
        <v>10.6</v>
      </c>
      <c r="R15" s="25"/>
      <c r="S15" s="25">
        <f t="shared" si="13"/>
        <v>6.99</v>
      </c>
      <c r="T15" s="25"/>
      <c r="U15" s="25">
        <f t="shared" si="13"/>
        <v>5.0825</v>
      </c>
      <c r="V15" s="25"/>
      <c r="W15" s="25">
        <f t="shared" si="13"/>
        <v>5.44</v>
      </c>
      <c r="X15" s="25"/>
    </row>
  </sheetData>
  <pageMargins left="0.7" right="0.7" top="0.75" bottom="0.75" header="0.3" footer="0.3"/>
  <pageSetup paperSize="9" scale="59" orientation="landscape"/>
  <headerFooter/>
  <colBreaks count="1" manualBreakCount="1">
    <brk id="24" max="1048575" man="1"/>
  </colBreak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15"/>
  <sheetViews>
    <sheetView view="pageBreakPreview" zoomScale="60" zoomScaleNormal="70" zoomScaleSheetLayoutView="60" workbookViewId="0">
      <selection activeCell="I11" sqref="I11"/>
    </sheetView>
  </sheetViews>
  <sheetFormatPr defaultColWidth="9.14285714285714" defaultRowHeight="15"/>
  <cols>
    <col min="1" max="12" width="9.14285714285714" style="15"/>
    <col min="13" max="13" width="10.1428571428571" style="15" customWidth="1"/>
    <col min="14" max="16384" width="9.14285714285714" style="15"/>
  </cols>
  <sheetData>
    <row r="1" spans="1:1">
      <c r="A1" s="15" t="s">
        <v>210</v>
      </c>
    </row>
    <row r="2" ht="43.5" spans="1:24">
      <c r="A2" s="26" t="s">
        <v>211</v>
      </c>
      <c r="B2" s="27" t="s">
        <v>212</v>
      </c>
      <c r="C2" s="27" t="s">
        <v>213</v>
      </c>
      <c r="D2" s="28" t="s">
        <v>5</v>
      </c>
      <c r="E2" s="28" t="s">
        <v>214</v>
      </c>
      <c r="F2" s="28" t="s">
        <v>6</v>
      </c>
      <c r="G2" s="28" t="s">
        <v>214</v>
      </c>
      <c r="H2" s="28" t="s">
        <v>7</v>
      </c>
      <c r="I2" s="28" t="s">
        <v>214</v>
      </c>
      <c r="J2" s="28" t="s">
        <v>8</v>
      </c>
      <c r="K2" s="28" t="s">
        <v>214</v>
      </c>
      <c r="L2" s="28" t="s">
        <v>9</v>
      </c>
      <c r="M2" s="28" t="s">
        <v>214</v>
      </c>
      <c r="N2" s="28" t="s">
        <v>10</v>
      </c>
      <c r="O2" s="28" t="s">
        <v>214</v>
      </c>
      <c r="P2" s="28" t="s">
        <v>11</v>
      </c>
      <c r="Q2" s="28" t="s">
        <v>214</v>
      </c>
      <c r="R2" s="28" t="s">
        <v>12</v>
      </c>
      <c r="S2" s="28" t="s">
        <v>214</v>
      </c>
      <c r="T2" s="28" t="s">
        <v>13</v>
      </c>
      <c r="U2" s="28" t="s">
        <v>214</v>
      </c>
      <c r="V2" s="28" t="s">
        <v>14</v>
      </c>
      <c r="W2" s="28" t="s">
        <v>215</v>
      </c>
      <c r="X2" s="28" t="s">
        <v>107</v>
      </c>
    </row>
    <row r="3" ht="50.25" spans="1:24">
      <c r="A3" s="29" t="s">
        <v>228</v>
      </c>
      <c r="B3" s="30">
        <v>7938</v>
      </c>
      <c r="C3" s="31">
        <v>95</v>
      </c>
      <c r="D3" s="22">
        <v>1</v>
      </c>
      <c r="E3" s="22">
        <f>(D3*B3)/100000</f>
        <v>0.07938</v>
      </c>
      <c r="F3" s="22">
        <v>14</v>
      </c>
      <c r="G3" s="22">
        <f>(F3*B3)/100000</f>
        <v>1.11132</v>
      </c>
      <c r="H3" s="22">
        <v>12</v>
      </c>
      <c r="I3" s="22">
        <f>(H3*B3)/100000</f>
        <v>0.95256</v>
      </c>
      <c r="J3" s="22">
        <v>15</v>
      </c>
      <c r="K3" s="22">
        <f>(J3*B3)/100000</f>
        <v>1.1907</v>
      </c>
      <c r="L3" s="22">
        <v>8</v>
      </c>
      <c r="M3" s="22">
        <f>(L3*B3)/100000</f>
        <v>0.63504</v>
      </c>
      <c r="N3" s="22">
        <v>7</v>
      </c>
      <c r="O3" s="22">
        <f>(N3*B3)/100000</f>
        <v>0.55566</v>
      </c>
      <c r="P3" s="22">
        <v>16</v>
      </c>
      <c r="Q3" s="22">
        <f>(P3*B3)/100000</f>
        <v>1.27008</v>
      </c>
      <c r="R3" s="22">
        <v>8</v>
      </c>
      <c r="S3" s="22">
        <f>(R3*B3)/100000</f>
        <v>0.63504</v>
      </c>
      <c r="T3" s="22">
        <v>6</v>
      </c>
      <c r="U3" s="22">
        <f>(T3*B3)/100000</f>
        <v>0.47628</v>
      </c>
      <c r="V3" s="22">
        <v>8</v>
      </c>
      <c r="W3" s="22">
        <f>(V3*B3)/100000</f>
        <v>0.63504</v>
      </c>
      <c r="X3" s="22">
        <f>SUM(F3,H3,J3,L3,N3,P3,R3,T3,V3,D3)</f>
        <v>95</v>
      </c>
    </row>
    <row r="4" ht="50.25" spans="1:24">
      <c r="A4" s="32" t="s">
        <v>229</v>
      </c>
      <c r="B4" s="33">
        <v>5937</v>
      </c>
      <c r="C4" s="34">
        <v>94</v>
      </c>
      <c r="D4" s="22"/>
      <c r="E4" s="22">
        <f t="shared" ref="E4:E14" si="0">(D4*B4)/100000</f>
        <v>0</v>
      </c>
      <c r="F4" s="22">
        <v>14</v>
      </c>
      <c r="G4" s="22">
        <f t="shared" ref="G4:G14" si="1">(F4*B4)/100000</f>
        <v>0.83118</v>
      </c>
      <c r="H4" s="22">
        <v>12</v>
      </c>
      <c r="I4" s="22">
        <f t="shared" ref="I4:I14" si="2">(H4*B4)/100000</f>
        <v>0.71244</v>
      </c>
      <c r="J4" s="22">
        <v>15</v>
      </c>
      <c r="K4" s="22">
        <f t="shared" ref="K4:K14" si="3">(J4*B4)/100000</f>
        <v>0.89055</v>
      </c>
      <c r="L4" s="22">
        <v>8</v>
      </c>
      <c r="M4" s="22">
        <f t="shared" ref="M4:M14" si="4">(L4*B4)/100000</f>
        <v>0.47496</v>
      </c>
      <c r="N4" s="22">
        <v>7</v>
      </c>
      <c r="O4" s="22">
        <f t="shared" ref="O4:O14" si="5">(N4*B4)/100000</f>
        <v>0.41559</v>
      </c>
      <c r="P4" s="22">
        <v>16</v>
      </c>
      <c r="Q4" s="22">
        <f t="shared" ref="Q4:Q14" si="6">(P4*B4)/100000</f>
        <v>0.94992</v>
      </c>
      <c r="R4" s="22">
        <v>8</v>
      </c>
      <c r="S4" s="22">
        <f t="shared" ref="S4:S14" si="7">(R4*B4)/100000</f>
        <v>0.47496</v>
      </c>
      <c r="T4" s="22">
        <v>6</v>
      </c>
      <c r="U4" s="22">
        <f t="shared" ref="U4:U14" si="8">(T4*B4)/100000</f>
        <v>0.35622</v>
      </c>
      <c r="V4" s="22">
        <v>8</v>
      </c>
      <c r="W4" s="22">
        <f t="shared" ref="W4:W14" si="9">(V4*B4)/100000</f>
        <v>0.47496</v>
      </c>
      <c r="X4" s="22">
        <f t="shared" ref="X4:X14" si="10">SUM(F4,H4,J4,L4,N4,P4,R4,T4,V4,D4)</f>
        <v>94</v>
      </c>
    </row>
    <row r="5" ht="66.75" spans="1:24">
      <c r="A5" s="32" t="s">
        <v>230</v>
      </c>
      <c r="B5" s="33">
        <v>2750</v>
      </c>
      <c r="C5" s="34">
        <v>4</v>
      </c>
      <c r="D5" s="22">
        <v>4</v>
      </c>
      <c r="E5" s="22">
        <f t="shared" si="0"/>
        <v>0.11</v>
      </c>
      <c r="F5" s="22"/>
      <c r="G5" s="22">
        <f t="shared" si="1"/>
        <v>0</v>
      </c>
      <c r="H5" s="22"/>
      <c r="I5" s="22">
        <f t="shared" si="2"/>
        <v>0</v>
      </c>
      <c r="J5" s="22"/>
      <c r="K5" s="22">
        <f t="shared" si="3"/>
        <v>0</v>
      </c>
      <c r="L5" s="22"/>
      <c r="M5" s="22">
        <f t="shared" si="4"/>
        <v>0</v>
      </c>
      <c r="N5" s="22"/>
      <c r="O5" s="22">
        <f t="shared" si="5"/>
        <v>0</v>
      </c>
      <c r="P5" s="22"/>
      <c r="Q5" s="22">
        <f t="shared" si="6"/>
        <v>0</v>
      </c>
      <c r="R5" s="22"/>
      <c r="S5" s="22">
        <f t="shared" si="7"/>
        <v>0</v>
      </c>
      <c r="T5" s="22"/>
      <c r="U5" s="22">
        <f t="shared" si="8"/>
        <v>0</v>
      </c>
      <c r="V5" s="22"/>
      <c r="W5" s="22">
        <f t="shared" si="9"/>
        <v>0</v>
      </c>
      <c r="X5" s="22">
        <f t="shared" si="10"/>
        <v>4</v>
      </c>
    </row>
    <row r="6" ht="50.25" spans="1:25">
      <c r="A6" s="32" t="s">
        <v>231</v>
      </c>
      <c r="B6" s="33">
        <v>50000</v>
      </c>
      <c r="C6" s="34">
        <v>2</v>
      </c>
      <c r="D6" s="22">
        <v>2</v>
      </c>
      <c r="E6" s="22">
        <f t="shared" si="0"/>
        <v>1</v>
      </c>
      <c r="F6" s="22"/>
      <c r="G6" s="22">
        <f t="shared" si="1"/>
        <v>0</v>
      </c>
      <c r="H6" s="22"/>
      <c r="I6" s="22">
        <f t="shared" si="2"/>
        <v>0</v>
      </c>
      <c r="J6" s="22"/>
      <c r="K6" s="22">
        <f t="shared" si="3"/>
        <v>0</v>
      </c>
      <c r="L6" s="22"/>
      <c r="M6" s="22">
        <f t="shared" si="4"/>
        <v>0</v>
      </c>
      <c r="N6" s="22"/>
      <c r="O6" s="22">
        <f t="shared" si="5"/>
        <v>0</v>
      </c>
      <c r="P6" s="22"/>
      <c r="Q6" s="22">
        <f t="shared" si="6"/>
        <v>0</v>
      </c>
      <c r="R6" s="22"/>
      <c r="S6" s="22">
        <f t="shared" si="7"/>
        <v>0</v>
      </c>
      <c r="T6" s="22"/>
      <c r="U6" s="22">
        <f t="shared" si="8"/>
        <v>0</v>
      </c>
      <c r="V6" s="22"/>
      <c r="W6" s="22">
        <f t="shared" si="9"/>
        <v>0</v>
      </c>
      <c r="X6" s="22">
        <f t="shared" si="10"/>
        <v>2</v>
      </c>
      <c r="Y6" s="15">
        <f>X6-C6</f>
        <v>0</v>
      </c>
    </row>
    <row r="7" ht="33.75" spans="1:24">
      <c r="A7" s="32" t="s">
        <v>217</v>
      </c>
      <c r="B7" s="33">
        <v>13500</v>
      </c>
      <c r="C7" s="34">
        <v>2</v>
      </c>
      <c r="D7" s="22">
        <v>2</v>
      </c>
      <c r="E7" s="22">
        <f t="shared" si="0"/>
        <v>0.27</v>
      </c>
      <c r="F7" s="22"/>
      <c r="G7" s="22">
        <f t="shared" si="1"/>
        <v>0</v>
      </c>
      <c r="H7" s="22"/>
      <c r="I7" s="22">
        <f t="shared" si="2"/>
        <v>0</v>
      </c>
      <c r="J7" s="22"/>
      <c r="K7" s="22">
        <f t="shared" si="3"/>
        <v>0</v>
      </c>
      <c r="L7" s="22"/>
      <c r="M7" s="22">
        <f t="shared" si="4"/>
        <v>0</v>
      </c>
      <c r="N7" s="22"/>
      <c r="O7" s="22">
        <f t="shared" si="5"/>
        <v>0</v>
      </c>
      <c r="P7" s="22"/>
      <c r="Q7" s="22">
        <f t="shared" si="6"/>
        <v>0</v>
      </c>
      <c r="R7" s="22"/>
      <c r="S7" s="22">
        <f t="shared" si="7"/>
        <v>0</v>
      </c>
      <c r="T7" s="22"/>
      <c r="U7" s="22">
        <f t="shared" si="8"/>
        <v>0</v>
      </c>
      <c r="V7" s="22"/>
      <c r="W7" s="22">
        <f t="shared" si="9"/>
        <v>0</v>
      </c>
      <c r="X7" s="22">
        <f t="shared" si="10"/>
        <v>2</v>
      </c>
    </row>
    <row r="8" ht="33.75" spans="1:25">
      <c r="A8" s="32" t="s">
        <v>232</v>
      </c>
      <c r="B8" s="33">
        <v>1500</v>
      </c>
      <c r="C8" s="34">
        <v>50</v>
      </c>
      <c r="D8" s="22">
        <v>50</v>
      </c>
      <c r="E8" s="22">
        <f t="shared" si="0"/>
        <v>0.75</v>
      </c>
      <c r="F8" s="22"/>
      <c r="G8" s="22">
        <f t="shared" si="1"/>
        <v>0</v>
      </c>
      <c r="H8" s="22"/>
      <c r="I8" s="22">
        <f t="shared" si="2"/>
        <v>0</v>
      </c>
      <c r="J8" s="22"/>
      <c r="K8" s="22">
        <f t="shared" si="3"/>
        <v>0</v>
      </c>
      <c r="L8" s="22"/>
      <c r="M8" s="22">
        <f t="shared" si="4"/>
        <v>0</v>
      </c>
      <c r="N8" s="22"/>
      <c r="O8" s="22">
        <f t="shared" si="5"/>
        <v>0</v>
      </c>
      <c r="P8" s="22"/>
      <c r="Q8" s="22">
        <f t="shared" si="6"/>
        <v>0</v>
      </c>
      <c r="R8" s="22"/>
      <c r="S8" s="22">
        <f t="shared" si="7"/>
        <v>0</v>
      </c>
      <c r="T8" s="22"/>
      <c r="U8" s="22">
        <f t="shared" si="8"/>
        <v>0</v>
      </c>
      <c r="V8" s="22"/>
      <c r="W8" s="22">
        <f t="shared" si="9"/>
        <v>0</v>
      </c>
      <c r="X8" s="22">
        <f t="shared" si="10"/>
        <v>50</v>
      </c>
      <c r="Y8" s="15">
        <f>X8-C8</f>
        <v>0</v>
      </c>
    </row>
    <row r="9" ht="33.75" spans="1:24">
      <c r="A9" s="32" t="s">
        <v>233</v>
      </c>
      <c r="B9" s="33">
        <v>1500</v>
      </c>
      <c r="C9" s="34">
        <v>20</v>
      </c>
      <c r="D9" s="22">
        <v>20</v>
      </c>
      <c r="E9" s="22">
        <f t="shared" si="0"/>
        <v>0.3</v>
      </c>
      <c r="F9" s="22"/>
      <c r="G9" s="22">
        <f t="shared" si="1"/>
        <v>0</v>
      </c>
      <c r="H9" s="22"/>
      <c r="I9" s="22">
        <f t="shared" si="2"/>
        <v>0</v>
      </c>
      <c r="J9" s="22"/>
      <c r="K9" s="22">
        <f t="shared" si="3"/>
        <v>0</v>
      </c>
      <c r="L9" s="22"/>
      <c r="M9" s="22">
        <f t="shared" si="4"/>
        <v>0</v>
      </c>
      <c r="N9" s="22"/>
      <c r="O9" s="22">
        <f t="shared" si="5"/>
        <v>0</v>
      </c>
      <c r="P9" s="22"/>
      <c r="Q9" s="22">
        <f t="shared" si="6"/>
        <v>0</v>
      </c>
      <c r="R9" s="22"/>
      <c r="S9" s="22">
        <f t="shared" si="7"/>
        <v>0</v>
      </c>
      <c r="T9" s="22"/>
      <c r="U9" s="22">
        <f t="shared" si="8"/>
        <v>0</v>
      </c>
      <c r="V9" s="22"/>
      <c r="W9" s="22">
        <f t="shared" si="9"/>
        <v>0</v>
      </c>
      <c r="X9" s="22">
        <f t="shared" si="10"/>
        <v>20</v>
      </c>
    </row>
    <row r="10" ht="66.75" spans="1:24">
      <c r="A10" s="32" t="s">
        <v>234</v>
      </c>
      <c r="B10" s="33">
        <v>3500</v>
      </c>
      <c r="C10" s="34">
        <v>216</v>
      </c>
      <c r="D10" s="22"/>
      <c r="E10" s="22">
        <f t="shared" si="0"/>
        <v>0</v>
      </c>
      <c r="F10" s="22">
        <v>19</v>
      </c>
      <c r="G10" s="22">
        <f t="shared" si="1"/>
        <v>0.665</v>
      </c>
      <c r="H10" s="22">
        <v>18</v>
      </c>
      <c r="I10" s="22">
        <f t="shared" si="2"/>
        <v>0.63</v>
      </c>
      <c r="J10" s="22">
        <v>18</v>
      </c>
      <c r="K10" s="22">
        <f t="shared" si="3"/>
        <v>0.63</v>
      </c>
      <c r="L10" s="22">
        <v>20</v>
      </c>
      <c r="M10" s="22">
        <f t="shared" si="4"/>
        <v>0.7</v>
      </c>
      <c r="N10" s="22">
        <v>35</v>
      </c>
      <c r="O10" s="22">
        <f t="shared" si="5"/>
        <v>1.225</v>
      </c>
      <c r="P10" s="22">
        <v>35</v>
      </c>
      <c r="Q10" s="22">
        <f t="shared" si="6"/>
        <v>1.225</v>
      </c>
      <c r="R10" s="22">
        <v>33</v>
      </c>
      <c r="S10" s="22">
        <f t="shared" si="7"/>
        <v>1.155</v>
      </c>
      <c r="T10" s="22">
        <v>20</v>
      </c>
      <c r="U10" s="22">
        <f t="shared" si="8"/>
        <v>0.7</v>
      </c>
      <c r="V10" s="22">
        <v>18</v>
      </c>
      <c r="W10" s="22">
        <f t="shared" si="9"/>
        <v>0.63</v>
      </c>
      <c r="X10" s="22">
        <f t="shared" si="10"/>
        <v>216</v>
      </c>
    </row>
    <row r="11" ht="50.25" spans="1:24">
      <c r="A11" s="32" t="s">
        <v>235</v>
      </c>
      <c r="B11" s="33">
        <v>3500</v>
      </c>
      <c r="C11" s="34">
        <v>216</v>
      </c>
      <c r="D11" s="22"/>
      <c r="E11" s="22">
        <f t="shared" si="0"/>
        <v>0</v>
      </c>
      <c r="F11" s="22">
        <v>19</v>
      </c>
      <c r="G11" s="22">
        <f t="shared" si="1"/>
        <v>0.665</v>
      </c>
      <c r="H11" s="22">
        <v>18</v>
      </c>
      <c r="I11" s="22">
        <f t="shared" si="2"/>
        <v>0.63</v>
      </c>
      <c r="J11" s="22">
        <v>18</v>
      </c>
      <c r="K11" s="22">
        <f t="shared" si="3"/>
        <v>0.63</v>
      </c>
      <c r="L11" s="22">
        <v>20</v>
      </c>
      <c r="M11" s="22">
        <f t="shared" si="4"/>
        <v>0.7</v>
      </c>
      <c r="N11" s="22">
        <v>35</v>
      </c>
      <c r="O11" s="22">
        <f t="shared" si="5"/>
        <v>1.225</v>
      </c>
      <c r="P11" s="22">
        <v>35</v>
      </c>
      <c r="Q11" s="22">
        <f t="shared" si="6"/>
        <v>1.225</v>
      </c>
      <c r="R11" s="22">
        <v>33</v>
      </c>
      <c r="S11" s="22">
        <f t="shared" si="7"/>
        <v>1.155</v>
      </c>
      <c r="T11" s="22">
        <v>20</v>
      </c>
      <c r="U11" s="22">
        <f t="shared" si="8"/>
        <v>0.7</v>
      </c>
      <c r="V11" s="22">
        <v>18</v>
      </c>
      <c r="W11" s="22">
        <f t="shared" si="9"/>
        <v>0.63</v>
      </c>
      <c r="X11" s="22">
        <f t="shared" si="10"/>
        <v>216</v>
      </c>
    </row>
    <row r="12" spans="1:24">
      <c r="A12" s="23"/>
      <c r="B12" s="24"/>
      <c r="C12" s="24"/>
      <c r="D12" s="22"/>
      <c r="E12" s="22">
        <f t="shared" si="0"/>
        <v>0</v>
      </c>
      <c r="F12" s="22"/>
      <c r="G12" s="22">
        <f t="shared" si="1"/>
        <v>0</v>
      </c>
      <c r="H12" s="22"/>
      <c r="I12" s="22">
        <f t="shared" si="2"/>
        <v>0</v>
      </c>
      <c r="J12" s="22"/>
      <c r="K12" s="22">
        <f t="shared" si="3"/>
        <v>0</v>
      </c>
      <c r="L12" s="22"/>
      <c r="M12" s="22">
        <f t="shared" si="4"/>
        <v>0</v>
      </c>
      <c r="N12" s="22"/>
      <c r="O12" s="22">
        <f t="shared" si="5"/>
        <v>0</v>
      </c>
      <c r="P12" s="22"/>
      <c r="Q12" s="22">
        <f t="shared" si="6"/>
        <v>0</v>
      </c>
      <c r="R12" s="22"/>
      <c r="S12" s="22">
        <f t="shared" si="7"/>
        <v>0</v>
      </c>
      <c r="T12" s="22"/>
      <c r="U12" s="22">
        <f t="shared" si="8"/>
        <v>0</v>
      </c>
      <c r="V12" s="22"/>
      <c r="W12" s="22">
        <f t="shared" si="9"/>
        <v>0</v>
      </c>
      <c r="X12" s="22">
        <f t="shared" si="10"/>
        <v>0</v>
      </c>
    </row>
    <row r="13" spans="1:24">
      <c r="A13" s="23"/>
      <c r="B13" s="24"/>
      <c r="C13" s="24"/>
      <c r="D13" s="22"/>
      <c r="E13" s="22">
        <f t="shared" si="0"/>
        <v>0</v>
      </c>
      <c r="F13" s="22"/>
      <c r="G13" s="22">
        <f t="shared" si="1"/>
        <v>0</v>
      </c>
      <c r="H13" s="22"/>
      <c r="I13" s="22">
        <f t="shared" si="2"/>
        <v>0</v>
      </c>
      <c r="J13" s="22"/>
      <c r="K13" s="22">
        <f t="shared" si="3"/>
        <v>0</v>
      </c>
      <c r="L13" s="22"/>
      <c r="M13" s="22">
        <f t="shared" si="4"/>
        <v>0</v>
      </c>
      <c r="N13" s="22"/>
      <c r="O13" s="22">
        <f t="shared" si="5"/>
        <v>0</v>
      </c>
      <c r="P13" s="22"/>
      <c r="Q13" s="22">
        <f t="shared" si="6"/>
        <v>0</v>
      </c>
      <c r="R13" s="22"/>
      <c r="S13" s="22">
        <f t="shared" si="7"/>
        <v>0</v>
      </c>
      <c r="T13" s="22"/>
      <c r="U13" s="22">
        <f t="shared" si="8"/>
        <v>0</v>
      </c>
      <c r="V13" s="22"/>
      <c r="W13" s="22">
        <f t="shared" si="9"/>
        <v>0</v>
      </c>
      <c r="X13" s="22">
        <f t="shared" si="10"/>
        <v>0</v>
      </c>
    </row>
    <row r="14" spans="1:24">
      <c r="A14" s="23"/>
      <c r="B14" s="24"/>
      <c r="C14" s="24"/>
      <c r="D14" s="22"/>
      <c r="E14" s="22">
        <f t="shared" si="0"/>
        <v>0</v>
      </c>
      <c r="F14" s="22"/>
      <c r="G14" s="22">
        <f t="shared" si="1"/>
        <v>0</v>
      </c>
      <c r="H14" s="22"/>
      <c r="I14" s="22">
        <f t="shared" si="2"/>
        <v>0</v>
      </c>
      <c r="J14" s="22"/>
      <c r="K14" s="22">
        <f t="shared" si="3"/>
        <v>0</v>
      </c>
      <c r="L14" s="22"/>
      <c r="M14" s="22">
        <f t="shared" si="4"/>
        <v>0</v>
      </c>
      <c r="N14" s="22"/>
      <c r="O14" s="22">
        <f t="shared" si="5"/>
        <v>0</v>
      </c>
      <c r="P14" s="22"/>
      <c r="Q14" s="22">
        <f t="shared" si="6"/>
        <v>0</v>
      </c>
      <c r="R14" s="22"/>
      <c r="S14" s="22">
        <f t="shared" si="7"/>
        <v>0</v>
      </c>
      <c r="T14" s="22"/>
      <c r="U14" s="22">
        <f t="shared" si="8"/>
        <v>0</v>
      </c>
      <c r="V14" s="22"/>
      <c r="W14" s="22">
        <f t="shared" si="9"/>
        <v>0</v>
      </c>
      <c r="X14" s="22">
        <f t="shared" si="10"/>
        <v>0</v>
      </c>
    </row>
    <row r="15" spans="1:24">
      <c r="A15" s="25" t="s">
        <v>107</v>
      </c>
      <c r="B15" s="25"/>
      <c r="C15" s="25"/>
      <c r="D15" s="25"/>
      <c r="E15" s="25">
        <f>SUM(E3:E14)</f>
        <v>2.50938</v>
      </c>
      <c r="F15" s="25"/>
      <c r="G15" s="25">
        <f t="shared" ref="G15:W15" si="11">SUM(G3:G14)</f>
        <v>3.2725</v>
      </c>
      <c r="H15" s="25"/>
      <c r="I15" s="25">
        <f t="shared" si="11"/>
        <v>2.925</v>
      </c>
      <c r="J15" s="25"/>
      <c r="K15" s="25">
        <f t="shared" si="11"/>
        <v>3.34125</v>
      </c>
      <c r="L15" s="25"/>
      <c r="M15" s="25">
        <f t="shared" si="11"/>
        <v>2.51</v>
      </c>
      <c r="N15" s="25"/>
      <c r="O15" s="25">
        <f t="shared" si="11"/>
        <v>3.42125</v>
      </c>
      <c r="P15" s="25"/>
      <c r="Q15" s="25">
        <f t="shared" si="11"/>
        <v>4.67</v>
      </c>
      <c r="R15" s="25"/>
      <c r="S15" s="25">
        <f t="shared" si="11"/>
        <v>3.42</v>
      </c>
      <c r="T15" s="25"/>
      <c r="U15" s="25">
        <f t="shared" si="11"/>
        <v>2.2325</v>
      </c>
      <c r="V15" s="25"/>
      <c r="W15" s="25">
        <f t="shared" si="11"/>
        <v>2.37</v>
      </c>
      <c r="X15" s="25"/>
    </row>
  </sheetData>
  <pageMargins left="0.7" right="0.7" top="0.75" bottom="0.75" header="0.3" footer="0.3"/>
  <pageSetup paperSize="9" scale="59" orientation="landscape"/>
  <headerFooter/>
  <colBreaks count="1" manualBreakCount="1">
    <brk id="24" max="1048575" man="1"/>
  </colBreak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15"/>
  <sheetViews>
    <sheetView view="pageBreakPreview" zoomScale="60" zoomScaleNormal="70" zoomScaleSheetLayoutView="60" workbookViewId="0">
      <selection activeCell="D19" sqref="D19"/>
    </sheetView>
  </sheetViews>
  <sheetFormatPr defaultColWidth="9.14285714285714" defaultRowHeight="15"/>
  <cols>
    <col min="1" max="12" width="9.14285714285714" style="15"/>
    <col min="13" max="13" width="10.1428571428571" style="15" customWidth="1"/>
    <col min="14" max="16384" width="9.14285714285714" style="15"/>
  </cols>
  <sheetData>
    <row r="1" spans="1:1">
      <c r="A1" s="15" t="s">
        <v>210</v>
      </c>
    </row>
    <row r="2" ht="42.75" spans="1:24">
      <c r="A2" s="16" t="s">
        <v>211</v>
      </c>
      <c r="B2" s="17" t="s">
        <v>212</v>
      </c>
      <c r="C2" s="17" t="s">
        <v>213</v>
      </c>
      <c r="D2" s="18" t="s">
        <v>5</v>
      </c>
      <c r="E2" s="18" t="s">
        <v>214</v>
      </c>
      <c r="F2" s="18" t="s">
        <v>6</v>
      </c>
      <c r="G2" s="18" t="s">
        <v>214</v>
      </c>
      <c r="H2" s="18" t="s">
        <v>7</v>
      </c>
      <c r="I2" s="18" t="s">
        <v>214</v>
      </c>
      <c r="J2" s="18" t="s">
        <v>8</v>
      </c>
      <c r="K2" s="18" t="s">
        <v>214</v>
      </c>
      <c r="L2" s="18" t="s">
        <v>9</v>
      </c>
      <c r="M2" s="18" t="s">
        <v>214</v>
      </c>
      <c r="N2" s="18" t="s">
        <v>10</v>
      </c>
      <c r="O2" s="18" t="s">
        <v>214</v>
      </c>
      <c r="P2" s="18" t="s">
        <v>11</v>
      </c>
      <c r="Q2" s="18" t="s">
        <v>214</v>
      </c>
      <c r="R2" s="18" t="s">
        <v>12</v>
      </c>
      <c r="S2" s="18" t="s">
        <v>214</v>
      </c>
      <c r="T2" s="18" t="s">
        <v>13</v>
      </c>
      <c r="U2" s="18" t="s">
        <v>214</v>
      </c>
      <c r="V2" s="18" t="s">
        <v>14</v>
      </c>
      <c r="W2" s="18" t="s">
        <v>215</v>
      </c>
      <c r="X2" s="18" t="s">
        <v>107</v>
      </c>
    </row>
    <row r="3" ht="16.5" spans="1:24">
      <c r="A3" s="19" t="s">
        <v>236</v>
      </c>
      <c r="B3" s="20">
        <v>700</v>
      </c>
      <c r="C3" s="21">
        <v>36</v>
      </c>
      <c r="D3" s="22"/>
      <c r="E3" s="22"/>
      <c r="F3" s="22">
        <v>1</v>
      </c>
      <c r="G3" s="22">
        <f>F3*B3*C3</f>
        <v>25200</v>
      </c>
      <c r="H3" s="22">
        <v>1</v>
      </c>
      <c r="I3" s="22">
        <f>PRODUCT(B3,C3,H3)</f>
        <v>25200</v>
      </c>
      <c r="J3" s="22">
        <v>1</v>
      </c>
      <c r="K3" s="22">
        <f>PRODUCT(B3,C3,J3)</f>
        <v>25200</v>
      </c>
      <c r="L3" s="22">
        <v>1</v>
      </c>
      <c r="M3" s="22">
        <f>PRODUCT(B3,C3,L3)</f>
        <v>25200</v>
      </c>
      <c r="N3" s="22">
        <v>1</v>
      </c>
      <c r="O3" s="22">
        <f>PRODUCT(B3,C3,N3)</f>
        <v>25200</v>
      </c>
      <c r="P3" s="22">
        <v>1</v>
      </c>
      <c r="Q3" s="22">
        <f>PRODUCT(B3,C3,P3)</f>
        <v>25200</v>
      </c>
      <c r="R3" s="22">
        <v>1</v>
      </c>
      <c r="S3" s="22">
        <f>PRODUCT(B3,C3,R3)</f>
        <v>25200</v>
      </c>
      <c r="T3" s="22">
        <v>1</v>
      </c>
      <c r="U3" s="22">
        <f>PRODUCT(B3,C3,T3)</f>
        <v>25200</v>
      </c>
      <c r="V3" s="22">
        <v>1</v>
      </c>
      <c r="W3" s="22">
        <f>PRODUCT(B3,C3,V3)</f>
        <v>25200</v>
      </c>
      <c r="X3" s="22"/>
    </row>
    <row r="4" ht="33" spans="1:24">
      <c r="A4" s="19" t="s">
        <v>237</v>
      </c>
      <c r="B4" s="20">
        <v>500</v>
      </c>
      <c r="C4" s="21">
        <v>120</v>
      </c>
      <c r="D4" s="22"/>
      <c r="E4" s="22"/>
      <c r="F4" s="22">
        <v>1</v>
      </c>
      <c r="G4" s="22">
        <f t="shared" ref="G4:G5" si="0">F4*B4*C4</f>
        <v>60000</v>
      </c>
      <c r="H4" s="22">
        <v>1</v>
      </c>
      <c r="I4" s="22">
        <f t="shared" ref="I4:I5" si="1">PRODUCT(B4,C4,H4)</f>
        <v>60000</v>
      </c>
      <c r="J4" s="22">
        <v>1</v>
      </c>
      <c r="K4" s="22">
        <f t="shared" ref="K4:K5" si="2">PRODUCT(B4,C4,J4)</f>
        <v>60000</v>
      </c>
      <c r="L4" s="22">
        <v>1</v>
      </c>
      <c r="M4" s="22">
        <f t="shared" ref="M4:M5" si="3">PRODUCT(B4,C4,L4)</f>
        <v>60000</v>
      </c>
      <c r="N4" s="22">
        <v>1</v>
      </c>
      <c r="O4" s="22">
        <f t="shared" ref="O4:O5" si="4">PRODUCT(B4,C4,N4)</f>
        <v>60000</v>
      </c>
      <c r="P4" s="22">
        <v>1</v>
      </c>
      <c r="Q4" s="22">
        <f t="shared" ref="Q4:Q5" si="5">PRODUCT(B4,C4,P4)</f>
        <v>60000</v>
      </c>
      <c r="R4" s="22">
        <v>1</v>
      </c>
      <c r="S4" s="22">
        <f t="shared" ref="S4:S5" si="6">PRODUCT(B4,C4,R4)</f>
        <v>60000</v>
      </c>
      <c r="T4" s="22">
        <v>1</v>
      </c>
      <c r="U4" s="22">
        <f t="shared" ref="U4:U5" si="7">PRODUCT(B4,C4,T4)</f>
        <v>60000</v>
      </c>
      <c r="V4" s="22">
        <v>1</v>
      </c>
      <c r="W4" s="22">
        <f t="shared" ref="W4:W5" si="8">PRODUCT(B4,C4,V4)</f>
        <v>60000</v>
      </c>
      <c r="X4" s="22"/>
    </row>
    <row r="5" ht="16.5" spans="1:24">
      <c r="A5" s="19" t="s">
        <v>238</v>
      </c>
      <c r="B5" s="20">
        <v>300</v>
      </c>
      <c r="C5" s="21">
        <v>180</v>
      </c>
      <c r="D5" s="22"/>
      <c r="E5" s="22"/>
      <c r="F5" s="22">
        <v>2</v>
      </c>
      <c r="G5" s="22">
        <f t="shared" si="0"/>
        <v>108000</v>
      </c>
      <c r="H5" s="22">
        <v>2</v>
      </c>
      <c r="I5" s="22">
        <f t="shared" si="1"/>
        <v>108000</v>
      </c>
      <c r="J5" s="22">
        <v>3</v>
      </c>
      <c r="K5" s="22">
        <f t="shared" si="2"/>
        <v>162000</v>
      </c>
      <c r="L5" s="22">
        <v>2</v>
      </c>
      <c r="M5" s="22">
        <f t="shared" si="3"/>
        <v>108000</v>
      </c>
      <c r="N5" s="22">
        <v>4</v>
      </c>
      <c r="O5" s="22">
        <f t="shared" si="4"/>
        <v>216000</v>
      </c>
      <c r="P5" s="22">
        <v>3</v>
      </c>
      <c r="Q5" s="22">
        <f t="shared" si="5"/>
        <v>162000</v>
      </c>
      <c r="R5" s="22">
        <v>2</v>
      </c>
      <c r="S5" s="22">
        <f t="shared" si="6"/>
        <v>108000</v>
      </c>
      <c r="T5" s="22">
        <v>2</v>
      </c>
      <c r="U5" s="22">
        <f t="shared" si="7"/>
        <v>108000</v>
      </c>
      <c r="V5" s="22">
        <v>2</v>
      </c>
      <c r="W5" s="22">
        <f t="shared" si="8"/>
        <v>108000</v>
      </c>
      <c r="X5" s="22"/>
    </row>
    <row r="6" ht="16.5" spans="1:25">
      <c r="A6" s="19" t="s">
        <v>107</v>
      </c>
      <c r="B6" s="20"/>
      <c r="C6" s="21"/>
      <c r="D6" s="22"/>
      <c r="E6" s="22"/>
      <c r="F6" s="22"/>
      <c r="G6" s="22">
        <f>SUM(G3:G5)/100000</f>
        <v>1.932</v>
      </c>
      <c r="H6" s="22"/>
      <c r="I6" s="22">
        <f t="shared" ref="I6:W6" si="9">SUM(I3:I5)/100000</f>
        <v>1.932</v>
      </c>
      <c r="J6" s="22"/>
      <c r="K6" s="22">
        <f t="shared" si="9"/>
        <v>2.472</v>
      </c>
      <c r="L6" s="22"/>
      <c r="M6" s="22">
        <f t="shared" si="9"/>
        <v>1.932</v>
      </c>
      <c r="N6" s="22"/>
      <c r="O6" s="22">
        <f t="shared" si="9"/>
        <v>3.012</v>
      </c>
      <c r="P6" s="22"/>
      <c r="Q6" s="22">
        <f t="shared" si="9"/>
        <v>2.472</v>
      </c>
      <c r="R6" s="22"/>
      <c r="S6" s="22">
        <f t="shared" si="9"/>
        <v>1.932</v>
      </c>
      <c r="T6" s="22"/>
      <c r="U6" s="22">
        <f t="shared" si="9"/>
        <v>1.932</v>
      </c>
      <c r="V6" s="22"/>
      <c r="W6" s="22">
        <f t="shared" si="9"/>
        <v>1.932</v>
      </c>
      <c r="X6" s="22">
        <f>SUM(G6:W6)</f>
        <v>19.548</v>
      </c>
      <c r="Y6" s="15">
        <f>X6-C6</f>
        <v>19.548</v>
      </c>
    </row>
    <row r="7" ht="49.5" spans="1:24">
      <c r="A7" s="19" t="s">
        <v>239</v>
      </c>
      <c r="B7" s="20">
        <v>50000</v>
      </c>
      <c r="C7" s="21"/>
      <c r="D7" s="22"/>
      <c r="E7" s="22"/>
      <c r="F7" s="22"/>
      <c r="G7" s="22">
        <v>0.5</v>
      </c>
      <c r="H7" s="22"/>
      <c r="I7" s="22">
        <v>0.5</v>
      </c>
      <c r="J7" s="22"/>
      <c r="K7" s="22">
        <v>0.5</v>
      </c>
      <c r="L7" s="22"/>
      <c r="M7" s="22">
        <v>0.5</v>
      </c>
      <c r="N7" s="22"/>
      <c r="O7" s="22">
        <v>0.5</v>
      </c>
      <c r="P7" s="22"/>
      <c r="Q7" s="22">
        <v>0.5</v>
      </c>
      <c r="R7" s="22"/>
      <c r="S7" s="22">
        <v>0.5</v>
      </c>
      <c r="T7" s="22"/>
      <c r="U7" s="22">
        <v>0.5</v>
      </c>
      <c r="V7" s="22"/>
      <c r="W7" s="22">
        <v>0.5</v>
      </c>
      <c r="X7" s="22"/>
    </row>
    <row r="8" ht="31.5" customHeight="1" spans="1:25">
      <c r="A8" s="19" t="s">
        <v>240</v>
      </c>
      <c r="B8" s="20"/>
      <c r="C8" s="21"/>
      <c r="D8" s="22"/>
      <c r="E8" s="22"/>
      <c r="F8" s="22"/>
      <c r="G8" s="22">
        <f>SUM(G6:G7)</f>
        <v>2.432</v>
      </c>
      <c r="H8" s="22">
        <f t="shared" ref="H8:W8" si="10">SUM(H6:H7)</f>
        <v>0</v>
      </c>
      <c r="I8" s="22">
        <f t="shared" si="10"/>
        <v>2.432</v>
      </c>
      <c r="J8" s="22">
        <f t="shared" si="10"/>
        <v>0</v>
      </c>
      <c r="K8" s="22">
        <f t="shared" si="10"/>
        <v>2.972</v>
      </c>
      <c r="L8" s="22">
        <f t="shared" si="10"/>
        <v>0</v>
      </c>
      <c r="M8" s="22">
        <f t="shared" si="10"/>
        <v>2.432</v>
      </c>
      <c r="N8" s="22">
        <f t="shared" si="10"/>
        <v>0</v>
      </c>
      <c r="O8" s="22">
        <f t="shared" si="10"/>
        <v>3.512</v>
      </c>
      <c r="P8" s="22">
        <f t="shared" si="10"/>
        <v>0</v>
      </c>
      <c r="Q8" s="22">
        <f t="shared" si="10"/>
        <v>2.972</v>
      </c>
      <c r="R8" s="22">
        <f t="shared" si="10"/>
        <v>0</v>
      </c>
      <c r="S8" s="22">
        <f t="shared" si="10"/>
        <v>2.432</v>
      </c>
      <c r="T8" s="22">
        <f t="shared" si="10"/>
        <v>0</v>
      </c>
      <c r="U8" s="22">
        <f t="shared" si="10"/>
        <v>2.432</v>
      </c>
      <c r="V8" s="22">
        <f t="shared" si="10"/>
        <v>0</v>
      </c>
      <c r="W8" s="22">
        <f t="shared" si="10"/>
        <v>2.432</v>
      </c>
      <c r="X8" s="22"/>
      <c r="Y8" s="15">
        <f>X8-C8</f>
        <v>0</v>
      </c>
    </row>
    <row r="9" ht="16.5" spans="1:24">
      <c r="A9" s="19"/>
      <c r="B9" s="20"/>
      <c r="C9" s="21"/>
      <c r="D9" s="22"/>
      <c r="E9" s="22"/>
      <c r="F9" s="22"/>
      <c r="G9" s="22"/>
      <c r="H9" s="22"/>
      <c r="I9" s="22"/>
      <c r="J9" s="22"/>
      <c r="K9" s="22"/>
      <c r="L9" s="22"/>
      <c r="M9" s="22"/>
      <c r="N9" s="22"/>
      <c r="O9" s="22"/>
      <c r="P9" s="22"/>
      <c r="Q9" s="22"/>
      <c r="R9" s="22"/>
      <c r="S9" s="22"/>
      <c r="T9" s="22"/>
      <c r="U9" s="22"/>
      <c r="V9" s="22"/>
      <c r="W9" s="22"/>
      <c r="X9" s="22"/>
    </row>
    <row r="10" ht="16.5" spans="1:24">
      <c r="A10" s="19"/>
      <c r="B10" s="20"/>
      <c r="C10" s="21"/>
      <c r="D10" s="22"/>
      <c r="E10" s="22"/>
      <c r="F10" s="22"/>
      <c r="G10" s="22"/>
      <c r="H10" s="22"/>
      <c r="I10" s="22"/>
      <c r="J10" s="22"/>
      <c r="K10" s="22"/>
      <c r="L10" s="22"/>
      <c r="M10" s="22"/>
      <c r="N10" s="22"/>
      <c r="O10" s="22"/>
      <c r="P10" s="22"/>
      <c r="Q10" s="22"/>
      <c r="R10" s="22"/>
      <c r="S10" s="22"/>
      <c r="T10" s="22"/>
      <c r="U10" s="22"/>
      <c r="V10" s="22"/>
      <c r="W10" s="22"/>
      <c r="X10" s="22"/>
    </row>
    <row r="11" ht="16.5" spans="1:24">
      <c r="A11" s="19"/>
      <c r="B11" s="20"/>
      <c r="C11" s="21"/>
      <c r="D11" s="22"/>
      <c r="E11" s="22"/>
      <c r="F11" s="22"/>
      <c r="G11" s="22"/>
      <c r="H11" s="22"/>
      <c r="I11" s="22"/>
      <c r="J11" s="22"/>
      <c r="K11" s="22"/>
      <c r="L11" s="22"/>
      <c r="M11" s="22"/>
      <c r="N11" s="22"/>
      <c r="O11" s="22"/>
      <c r="P11" s="22"/>
      <c r="Q11" s="22"/>
      <c r="R11" s="22"/>
      <c r="S11" s="22"/>
      <c r="T11" s="22"/>
      <c r="U11" s="22"/>
      <c r="V11" s="22"/>
      <c r="W11" s="22"/>
      <c r="X11" s="22"/>
    </row>
    <row r="12" spans="1:24">
      <c r="A12" s="23"/>
      <c r="B12" s="24"/>
      <c r="C12" s="24"/>
      <c r="D12" s="22"/>
      <c r="E12" s="22"/>
      <c r="F12" s="22"/>
      <c r="G12" s="22"/>
      <c r="H12" s="22"/>
      <c r="I12" s="22"/>
      <c r="J12" s="22"/>
      <c r="K12" s="22"/>
      <c r="L12" s="22"/>
      <c r="M12" s="22"/>
      <c r="N12" s="22"/>
      <c r="O12" s="22"/>
      <c r="P12" s="22"/>
      <c r="Q12" s="22"/>
      <c r="R12" s="22"/>
      <c r="S12" s="22"/>
      <c r="T12" s="22"/>
      <c r="U12" s="22"/>
      <c r="V12" s="22"/>
      <c r="W12" s="22"/>
      <c r="X12" s="22"/>
    </row>
    <row r="13" spans="1:24">
      <c r="A13" s="23"/>
      <c r="B13" s="24"/>
      <c r="C13" s="24"/>
      <c r="D13" s="22"/>
      <c r="E13" s="22"/>
      <c r="F13" s="22"/>
      <c r="G13" s="22"/>
      <c r="H13" s="22"/>
      <c r="I13" s="22"/>
      <c r="J13" s="22"/>
      <c r="K13" s="22"/>
      <c r="L13" s="22"/>
      <c r="M13" s="22"/>
      <c r="N13" s="22"/>
      <c r="O13" s="22"/>
      <c r="P13" s="22"/>
      <c r="Q13" s="22"/>
      <c r="R13" s="22"/>
      <c r="S13" s="22"/>
      <c r="T13" s="22"/>
      <c r="U13" s="22"/>
      <c r="V13" s="22"/>
      <c r="W13" s="22"/>
      <c r="X13" s="22"/>
    </row>
    <row r="14" spans="1:24">
      <c r="A14" s="23"/>
      <c r="B14" s="24"/>
      <c r="C14" s="24"/>
      <c r="D14" s="22"/>
      <c r="E14" s="22"/>
      <c r="F14" s="22"/>
      <c r="G14" s="22"/>
      <c r="H14" s="22"/>
      <c r="I14" s="22"/>
      <c r="J14" s="22"/>
      <c r="K14" s="22"/>
      <c r="L14" s="22"/>
      <c r="M14" s="22"/>
      <c r="N14" s="22"/>
      <c r="O14" s="22"/>
      <c r="P14" s="22"/>
      <c r="Q14" s="22"/>
      <c r="R14" s="22"/>
      <c r="S14" s="22"/>
      <c r="T14" s="22"/>
      <c r="U14" s="22"/>
      <c r="V14" s="22"/>
      <c r="W14" s="22"/>
      <c r="X14" s="22"/>
    </row>
    <row r="15" spans="1:24">
      <c r="A15" s="25"/>
      <c r="B15" s="25"/>
      <c r="C15" s="25"/>
      <c r="D15" s="25"/>
      <c r="E15" s="25"/>
      <c r="F15" s="25"/>
      <c r="G15" s="25"/>
      <c r="H15" s="25"/>
      <c r="I15" s="25"/>
      <c r="J15" s="25"/>
      <c r="K15" s="25"/>
      <c r="L15" s="25"/>
      <c r="M15" s="25"/>
      <c r="N15" s="25"/>
      <c r="O15" s="25"/>
      <c r="P15" s="25"/>
      <c r="Q15" s="25"/>
      <c r="R15" s="25"/>
      <c r="S15" s="25"/>
      <c r="T15" s="25"/>
      <c r="U15" s="25"/>
      <c r="V15" s="25"/>
      <c r="W15" s="25"/>
      <c r="X15" s="25"/>
    </row>
  </sheetData>
  <pageMargins left="0.7" right="0.7" top="0.75" bottom="0.75" header="0.3" footer="0.3"/>
  <pageSetup paperSize="9" scale="59" orientation="landscape"/>
  <headerFooter/>
  <colBreaks count="1" manualBreakCount="1">
    <brk id="24" max="1048575" man="1"/>
  </colBreak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14"/>
  <sheetViews>
    <sheetView view="pageBreakPreview" zoomScale="60" zoomScaleNormal="70" zoomScaleSheetLayoutView="60" workbookViewId="0">
      <selection activeCell="G6" sqref="G6"/>
    </sheetView>
  </sheetViews>
  <sheetFormatPr defaultColWidth="9.14285714285714" defaultRowHeight="15"/>
  <cols>
    <col min="1" max="12" width="9.14285714285714" style="15"/>
    <col min="13" max="13" width="10.1428571428571" style="15" customWidth="1"/>
    <col min="14" max="16384" width="9.14285714285714" style="15"/>
  </cols>
  <sheetData>
    <row r="1" spans="1:1">
      <c r="A1" s="15" t="s">
        <v>210</v>
      </c>
    </row>
    <row r="2" ht="42.75" spans="1:24">
      <c r="A2" s="16" t="s">
        <v>211</v>
      </c>
      <c r="B2" s="17" t="s">
        <v>212</v>
      </c>
      <c r="C2" s="17" t="s">
        <v>213</v>
      </c>
      <c r="D2" s="18" t="s">
        <v>5</v>
      </c>
      <c r="E2" s="18" t="s">
        <v>214</v>
      </c>
      <c r="F2" s="18" t="s">
        <v>6</v>
      </c>
      <c r="G2" s="18" t="s">
        <v>214</v>
      </c>
      <c r="H2" s="18" t="s">
        <v>7</v>
      </c>
      <c r="I2" s="18" t="s">
        <v>214</v>
      </c>
      <c r="J2" s="18" t="s">
        <v>8</v>
      </c>
      <c r="K2" s="18" t="s">
        <v>214</v>
      </c>
      <c r="L2" s="18" t="s">
        <v>9</v>
      </c>
      <c r="M2" s="18" t="s">
        <v>214</v>
      </c>
      <c r="N2" s="18" t="s">
        <v>10</v>
      </c>
      <c r="O2" s="18" t="s">
        <v>214</v>
      </c>
      <c r="P2" s="18" t="s">
        <v>11</v>
      </c>
      <c r="Q2" s="18" t="s">
        <v>214</v>
      </c>
      <c r="R2" s="18" t="s">
        <v>12</v>
      </c>
      <c r="S2" s="18" t="s">
        <v>214</v>
      </c>
      <c r="T2" s="18" t="s">
        <v>13</v>
      </c>
      <c r="U2" s="18" t="s">
        <v>214</v>
      </c>
      <c r="V2" s="18" t="s">
        <v>14</v>
      </c>
      <c r="W2" s="18" t="s">
        <v>215</v>
      </c>
      <c r="X2" s="18" t="s">
        <v>107</v>
      </c>
    </row>
    <row r="3" ht="33" spans="1:24">
      <c r="A3" s="19" t="s">
        <v>241</v>
      </c>
      <c r="B3" s="20">
        <v>18000</v>
      </c>
      <c r="C3" s="21">
        <v>12</v>
      </c>
      <c r="D3" s="22"/>
      <c r="E3" s="22"/>
      <c r="F3" s="22">
        <v>1</v>
      </c>
      <c r="G3" s="22">
        <f>F3*B3*C3</f>
        <v>216000</v>
      </c>
      <c r="H3" s="22">
        <v>1</v>
      </c>
      <c r="I3" s="22">
        <f>PRODUCT(B3,C3,H3)</f>
        <v>216000</v>
      </c>
      <c r="J3" s="22">
        <v>1</v>
      </c>
      <c r="K3" s="22">
        <f>PRODUCT(B3,C3,J3)</f>
        <v>216000</v>
      </c>
      <c r="L3" s="22">
        <v>1</v>
      </c>
      <c r="M3" s="22">
        <f>PRODUCT(B3,C3,L3)</f>
        <v>216000</v>
      </c>
      <c r="N3" s="22">
        <v>1</v>
      </c>
      <c r="O3" s="22">
        <f>PRODUCT(B3,C3,N3)</f>
        <v>216000</v>
      </c>
      <c r="P3" s="22">
        <v>1</v>
      </c>
      <c r="Q3" s="22">
        <f>PRODUCT(B3,C3,P3)</f>
        <v>216000</v>
      </c>
      <c r="R3" s="22">
        <v>1</v>
      </c>
      <c r="S3" s="22">
        <f>PRODUCT(B3,C3,R3)</f>
        <v>216000</v>
      </c>
      <c r="T3" s="22">
        <v>1</v>
      </c>
      <c r="U3" s="22">
        <f>PRODUCT(B3,C3,T3)</f>
        <v>216000</v>
      </c>
      <c r="V3" s="22">
        <v>1</v>
      </c>
      <c r="W3" s="22">
        <f>PRODUCT(B3,C3,V3)</f>
        <v>216000</v>
      </c>
      <c r="X3" s="22"/>
    </row>
    <row r="4" ht="33" spans="1:24">
      <c r="A4" s="19" t="s">
        <v>242</v>
      </c>
      <c r="B4" s="20">
        <v>2500</v>
      </c>
      <c r="C4" s="21">
        <v>12</v>
      </c>
      <c r="D4" s="22"/>
      <c r="E4" s="22"/>
      <c r="F4" s="22">
        <v>2</v>
      </c>
      <c r="G4" s="22">
        <f t="shared" ref="G4" si="0">F4*B4*C4</f>
        <v>60000</v>
      </c>
      <c r="H4" s="22">
        <v>2</v>
      </c>
      <c r="I4" s="22">
        <f t="shared" ref="I4" si="1">PRODUCT(B4,C4,H4)</f>
        <v>60000</v>
      </c>
      <c r="J4" s="22">
        <v>3</v>
      </c>
      <c r="K4" s="22">
        <f t="shared" ref="K4" si="2">PRODUCT(B4,C4,J4)</f>
        <v>90000</v>
      </c>
      <c r="L4" s="22">
        <v>2</v>
      </c>
      <c r="M4" s="22">
        <f t="shared" ref="M4" si="3">PRODUCT(B4,C4,L4)</f>
        <v>60000</v>
      </c>
      <c r="N4" s="22">
        <v>4</v>
      </c>
      <c r="O4" s="22">
        <f t="shared" ref="O4" si="4">PRODUCT(B4,C4,N4)</f>
        <v>120000</v>
      </c>
      <c r="P4" s="22">
        <v>3</v>
      </c>
      <c r="Q4" s="22">
        <f t="shared" ref="Q4" si="5">PRODUCT(B4,C4,P4)</f>
        <v>90000</v>
      </c>
      <c r="R4" s="22">
        <v>2</v>
      </c>
      <c r="S4" s="22">
        <f t="shared" ref="S4" si="6">PRODUCT(B4,C4,R4)</f>
        <v>60000</v>
      </c>
      <c r="T4" s="22">
        <v>2</v>
      </c>
      <c r="U4" s="22">
        <f t="shared" ref="U4" si="7">PRODUCT(B4,C4,T4)</f>
        <v>60000</v>
      </c>
      <c r="V4" s="22">
        <v>2</v>
      </c>
      <c r="W4" s="22">
        <f t="shared" ref="W4" si="8">PRODUCT(B4,C4,V4)</f>
        <v>60000</v>
      </c>
      <c r="X4" s="22"/>
    </row>
    <row r="5" ht="16.5" spans="1:25">
      <c r="A5" s="19" t="s">
        <v>107</v>
      </c>
      <c r="B5" s="20"/>
      <c r="C5" s="21"/>
      <c r="D5" s="22"/>
      <c r="E5" s="22"/>
      <c r="F5" s="22"/>
      <c r="G5" s="22">
        <f>SUM(G3:G4)/100000</f>
        <v>2.76</v>
      </c>
      <c r="H5" s="22"/>
      <c r="I5" s="22">
        <f>SUM(I3:I4)/100000</f>
        <v>2.76</v>
      </c>
      <c r="J5" s="22"/>
      <c r="K5" s="22">
        <f>SUM(K3:K4)/100000</f>
        <v>3.06</v>
      </c>
      <c r="L5" s="22"/>
      <c r="M5" s="22">
        <f>SUM(M3:M4)/100000</f>
        <v>2.76</v>
      </c>
      <c r="N5" s="22"/>
      <c r="O5" s="22">
        <f>SUM(O3:O4)/100000</f>
        <v>3.36</v>
      </c>
      <c r="P5" s="22"/>
      <c r="Q5" s="22">
        <f>SUM(Q3:Q4)/100000</f>
        <v>3.06</v>
      </c>
      <c r="R5" s="22"/>
      <c r="S5" s="22">
        <f>SUM(S3:S4)/100000</f>
        <v>2.76</v>
      </c>
      <c r="T5" s="22"/>
      <c r="U5" s="22">
        <f>SUM(U3:U4)/100000</f>
        <v>2.76</v>
      </c>
      <c r="V5" s="22"/>
      <c r="W5" s="22">
        <f>SUM(W3:W4)/100000</f>
        <v>2.76</v>
      </c>
      <c r="X5" s="22">
        <f>SUM(G5:W5)</f>
        <v>26.04</v>
      </c>
      <c r="Y5" s="15">
        <f>X5-C5</f>
        <v>26.04</v>
      </c>
    </row>
    <row r="6" ht="16.5" spans="1:24">
      <c r="A6" s="19"/>
      <c r="B6" s="20"/>
      <c r="C6" s="21"/>
      <c r="D6" s="22"/>
      <c r="E6" s="22"/>
      <c r="F6" s="22"/>
      <c r="G6" s="22"/>
      <c r="H6" s="22"/>
      <c r="I6" s="22"/>
      <c r="J6" s="22"/>
      <c r="K6" s="22"/>
      <c r="L6" s="22"/>
      <c r="M6" s="22"/>
      <c r="N6" s="22"/>
      <c r="O6" s="22"/>
      <c r="P6" s="22"/>
      <c r="Q6" s="22"/>
      <c r="R6" s="22"/>
      <c r="S6" s="22"/>
      <c r="T6" s="22"/>
      <c r="U6" s="22"/>
      <c r="V6" s="22"/>
      <c r="W6" s="22"/>
      <c r="X6" s="22"/>
    </row>
    <row r="7" ht="31.5" customHeight="1" spans="1:25">
      <c r="A7" s="19"/>
      <c r="B7" s="20"/>
      <c r="C7" s="21"/>
      <c r="D7" s="22"/>
      <c r="E7" s="22"/>
      <c r="F7" s="22"/>
      <c r="G7" s="22"/>
      <c r="H7" s="22"/>
      <c r="I7" s="22"/>
      <c r="J7" s="22"/>
      <c r="K7" s="22"/>
      <c r="L7" s="22"/>
      <c r="M7" s="22"/>
      <c r="N7" s="22"/>
      <c r="O7" s="22"/>
      <c r="P7" s="22"/>
      <c r="Q7" s="22"/>
      <c r="R7" s="22"/>
      <c r="S7" s="22"/>
      <c r="T7" s="22"/>
      <c r="U7" s="22"/>
      <c r="V7" s="22"/>
      <c r="W7" s="22"/>
      <c r="X7" s="22"/>
      <c r="Y7" s="15">
        <f>X7-C7</f>
        <v>0</v>
      </c>
    </row>
    <row r="8" ht="16.5" spans="1:24">
      <c r="A8" s="19"/>
      <c r="B8" s="20"/>
      <c r="C8" s="21"/>
      <c r="D8" s="22"/>
      <c r="E8" s="22"/>
      <c r="F8" s="22"/>
      <c r="G8" s="22"/>
      <c r="H8" s="22"/>
      <c r="I8" s="22"/>
      <c r="J8" s="22"/>
      <c r="K8" s="22"/>
      <c r="L8" s="22"/>
      <c r="M8" s="22"/>
      <c r="N8" s="22"/>
      <c r="O8" s="22"/>
      <c r="P8" s="22"/>
      <c r="Q8" s="22"/>
      <c r="R8" s="22"/>
      <c r="S8" s="22"/>
      <c r="T8" s="22"/>
      <c r="U8" s="22"/>
      <c r="V8" s="22"/>
      <c r="W8" s="22"/>
      <c r="X8" s="22"/>
    </row>
    <row r="9" ht="16.5" spans="1:24">
      <c r="A9" s="19"/>
      <c r="B9" s="20"/>
      <c r="C9" s="21"/>
      <c r="D9" s="22"/>
      <c r="E9" s="22"/>
      <c r="F9" s="22"/>
      <c r="G9" s="22"/>
      <c r="H9" s="22"/>
      <c r="I9" s="22"/>
      <c r="J9" s="22"/>
      <c r="K9" s="22"/>
      <c r="L9" s="22"/>
      <c r="M9" s="22"/>
      <c r="N9" s="22"/>
      <c r="O9" s="22"/>
      <c r="P9" s="22"/>
      <c r="Q9" s="22"/>
      <c r="R9" s="22"/>
      <c r="S9" s="22"/>
      <c r="T9" s="22"/>
      <c r="U9" s="22"/>
      <c r="V9" s="22"/>
      <c r="W9" s="22"/>
      <c r="X9" s="22"/>
    </row>
    <row r="10" ht="16.5" spans="1:24">
      <c r="A10" s="19"/>
      <c r="B10" s="20"/>
      <c r="C10" s="21"/>
      <c r="D10" s="22"/>
      <c r="E10" s="22"/>
      <c r="F10" s="22"/>
      <c r="G10" s="22"/>
      <c r="H10" s="22"/>
      <c r="I10" s="22"/>
      <c r="J10" s="22"/>
      <c r="K10" s="22"/>
      <c r="L10" s="22"/>
      <c r="M10" s="22"/>
      <c r="N10" s="22"/>
      <c r="O10" s="22"/>
      <c r="P10" s="22"/>
      <c r="Q10" s="22"/>
      <c r="R10" s="22"/>
      <c r="S10" s="22"/>
      <c r="T10" s="22"/>
      <c r="U10" s="22"/>
      <c r="V10" s="22"/>
      <c r="W10" s="22"/>
      <c r="X10" s="22"/>
    </row>
    <row r="11" spans="1:24">
      <c r="A11" s="23"/>
      <c r="B11" s="24"/>
      <c r="C11" s="24"/>
      <c r="D11" s="22"/>
      <c r="E11" s="22"/>
      <c r="F11" s="22"/>
      <c r="G11" s="22"/>
      <c r="H11" s="22"/>
      <c r="I11" s="22"/>
      <c r="J11" s="22"/>
      <c r="K11" s="22"/>
      <c r="L11" s="22"/>
      <c r="M11" s="22"/>
      <c r="N11" s="22"/>
      <c r="O11" s="22"/>
      <c r="P11" s="22"/>
      <c r="Q11" s="22"/>
      <c r="R11" s="22"/>
      <c r="S11" s="22"/>
      <c r="T11" s="22"/>
      <c r="U11" s="22"/>
      <c r="V11" s="22"/>
      <c r="W11" s="22"/>
      <c r="X11" s="22"/>
    </row>
    <row r="12" spans="1:24">
      <c r="A12" s="23"/>
      <c r="B12" s="24"/>
      <c r="C12" s="24"/>
      <c r="D12" s="22"/>
      <c r="E12" s="22"/>
      <c r="F12" s="22"/>
      <c r="G12" s="22"/>
      <c r="H12" s="22"/>
      <c r="I12" s="22"/>
      <c r="J12" s="22"/>
      <c r="K12" s="22"/>
      <c r="L12" s="22"/>
      <c r="M12" s="22"/>
      <c r="N12" s="22"/>
      <c r="O12" s="22"/>
      <c r="P12" s="22"/>
      <c r="Q12" s="22"/>
      <c r="R12" s="22"/>
      <c r="S12" s="22"/>
      <c r="T12" s="22"/>
      <c r="U12" s="22"/>
      <c r="V12" s="22"/>
      <c r="W12" s="22"/>
      <c r="X12" s="22"/>
    </row>
    <row r="13" spans="1:24">
      <c r="A13" s="23"/>
      <c r="B13" s="24"/>
      <c r="C13" s="24"/>
      <c r="D13" s="22"/>
      <c r="E13" s="22"/>
      <c r="F13" s="22"/>
      <c r="G13" s="22"/>
      <c r="H13" s="22"/>
      <c r="I13" s="22"/>
      <c r="J13" s="22"/>
      <c r="K13" s="22"/>
      <c r="L13" s="22"/>
      <c r="M13" s="22"/>
      <c r="N13" s="22"/>
      <c r="O13" s="22"/>
      <c r="P13" s="22"/>
      <c r="Q13" s="22"/>
      <c r="R13" s="22"/>
      <c r="S13" s="22"/>
      <c r="T13" s="22"/>
      <c r="U13" s="22"/>
      <c r="V13" s="22"/>
      <c r="W13" s="22"/>
      <c r="X13" s="22"/>
    </row>
    <row r="14" spans="1:24">
      <c r="A14" s="25"/>
      <c r="B14" s="25"/>
      <c r="C14" s="25"/>
      <c r="D14" s="25"/>
      <c r="E14" s="25"/>
      <c r="F14" s="25"/>
      <c r="G14" s="25"/>
      <c r="H14" s="25"/>
      <c r="I14" s="25"/>
      <c r="J14" s="25"/>
      <c r="K14" s="25"/>
      <c r="L14" s="25"/>
      <c r="M14" s="25"/>
      <c r="N14" s="25"/>
      <c r="O14" s="25"/>
      <c r="P14" s="25"/>
      <c r="Q14" s="25"/>
      <c r="R14" s="25"/>
      <c r="S14" s="25"/>
      <c r="T14" s="25"/>
      <c r="U14" s="25"/>
      <c r="V14" s="25"/>
      <c r="W14" s="25"/>
      <c r="X14" s="25"/>
    </row>
  </sheetData>
  <pageMargins left="0.7" right="0.7" top="0.75" bottom="0.75" header="0.3" footer="0.3"/>
  <pageSetup paperSize="9" scale="59" orientation="landscape"/>
  <headerFooter/>
  <colBreaks count="1" manualBreakCount="1">
    <brk id="2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11</vt:i4>
      </vt:variant>
    </vt:vector>
  </HeadingPairs>
  <TitlesOfParts>
    <vt:vector size="11" baseType="lpstr">
      <vt:lpstr>Link Tello</vt:lpstr>
      <vt:lpstr>Link Tello Summary</vt:lpstr>
      <vt:lpstr>Consolidated NVBDCP</vt:lpstr>
      <vt:lpstr>NVBDCP</vt:lpstr>
      <vt:lpstr>Summary</vt:lpstr>
      <vt:lpstr>IEC for Malaria</vt:lpstr>
      <vt:lpstr>IEC for Social Mobilization</vt:lpstr>
      <vt:lpstr>mne</vt:lpstr>
      <vt:lpstr>TRC Mobility</vt:lpstr>
      <vt:lpstr>TRC</vt:lpstr>
      <vt:lpstr>ASHA Performance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2006-09-16T00:00:00Z</dcterms:created>
  <dcterms:modified xsi:type="dcterms:W3CDTF">2020-01-17T08:35:30Z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1033-11.2.0.9127</vt:lpwstr>
  </property>
</Properties>
</file>